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55" windowWidth="11025" windowHeight="5835" activeTab="0"/>
  </bookViews>
  <sheets>
    <sheet name="a" sheetId="1" r:id="rId1"/>
    <sheet name="Arkusz2" sheetId="2" r:id="rId2"/>
    <sheet name="Arkusz3" sheetId="3" r:id="rId3"/>
  </sheets>
  <definedNames>
    <definedName name="_xlnm.Print_Area" localSheetId="0">'a'!$A$1:$H$624</definedName>
    <definedName name="_xlnm.Print_Area" localSheetId="1">'Arkusz2'!$A$1:$F$79</definedName>
  </definedNames>
  <calcPr fullCalcOnLoad="1"/>
</workbook>
</file>

<file path=xl/sharedStrings.xml><?xml version="1.0" encoding="utf-8"?>
<sst xmlns="http://schemas.openxmlformats.org/spreadsheetml/2006/main" count="841" uniqueCount="324">
  <si>
    <t>Rozdział</t>
  </si>
  <si>
    <t>Klasyfikacja budżetowa</t>
  </si>
  <si>
    <t>Prace geodezyjno-urządzeniowe na potrzeby rolnictwa</t>
  </si>
  <si>
    <t>Nadzór nad gospodarką leśną</t>
  </si>
  <si>
    <t>Gospodarka gruntami i nieruchomościami</t>
  </si>
  <si>
    <t>Prace geodezyjne i kartograficzne</t>
  </si>
  <si>
    <t>Nadzór budowlany</t>
  </si>
  <si>
    <t>Starostwo Powiatowe</t>
  </si>
  <si>
    <t>Komisje poborowe</t>
  </si>
  <si>
    <t>Komenda powiatowa PSP</t>
  </si>
  <si>
    <t>Szkoły podstawowe specjalne</t>
  </si>
  <si>
    <t>Licea Ogólnokształcące</t>
  </si>
  <si>
    <t>Domy pomocy społecznej</t>
  </si>
  <si>
    <t>Rodziny zastępcze</t>
  </si>
  <si>
    <t>Internaty i bursy szkolne</t>
  </si>
  <si>
    <t>Szkolne schroniska młodzieżowe</t>
  </si>
  <si>
    <t>Paragraf</t>
  </si>
  <si>
    <t>Razem rozdział 01005</t>
  </si>
  <si>
    <t>Razem dział 010</t>
  </si>
  <si>
    <t>Dział 020 Leśnictwo</t>
  </si>
  <si>
    <t>Razem rozdział 02002</t>
  </si>
  <si>
    <t>Dział 710 Działalność usługowa</t>
  </si>
  <si>
    <t>Dział 750 Administracja Publiczna</t>
  </si>
  <si>
    <t>Opracowania geodezyjne i kartog.</t>
  </si>
  <si>
    <t>Dział 700 Gospodarka mieszkaniowa</t>
  </si>
  <si>
    <t>Razem dział 710</t>
  </si>
  <si>
    <t>Razem dział 71014</t>
  </si>
  <si>
    <t>Razem dział 75011</t>
  </si>
  <si>
    <t>Razem dział 71013</t>
  </si>
  <si>
    <t>Razem rozdział 75045</t>
  </si>
  <si>
    <t>Razem rozdział 75020</t>
  </si>
  <si>
    <t>Razem rozdział 75411</t>
  </si>
  <si>
    <t>Dział 754 Bezpieczeństwo publiczne i ochrona p.poż.</t>
  </si>
  <si>
    <t>Dział 801 Oświata i wychowanie</t>
  </si>
  <si>
    <t>Razem rozdział 80120</t>
  </si>
  <si>
    <t>Razem dział 801</t>
  </si>
  <si>
    <t>Dział 851 Ochrona zdrowia</t>
  </si>
  <si>
    <t>Razem dział 851</t>
  </si>
  <si>
    <t>Powiatowe centra pomocy rodzinie</t>
  </si>
  <si>
    <t>Razem rozdział 85321</t>
  </si>
  <si>
    <t>Powiatowe urzędy pracy</t>
  </si>
  <si>
    <t>Razem rozdział 85333</t>
  </si>
  <si>
    <t>Razem dział 853</t>
  </si>
  <si>
    <t>Razem rozdział 85410</t>
  </si>
  <si>
    <t>Razem rozdział 85417</t>
  </si>
  <si>
    <t>Razem dział 854</t>
  </si>
  <si>
    <t>Dział 854 Edukacyjna opieka wychowawcza</t>
  </si>
  <si>
    <t>02001</t>
  </si>
  <si>
    <t>Razem dział 020</t>
  </si>
  <si>
    <t>Razem rozdział 02001</t>
  </si>
  <si>
    <t>Razem rozdział 70005</t>
  </si>
  <si>
    <t>Razem dział 700</t>
  </si>
  <si>
    <t>Razem dział 750</t>
  </si>
  <si>
    <t>Szkoły zawodowe</t>
  </si>
  <si>
    <t>Razem rozdział 80130</t>
  </si>
  <si>
    <t>80195</t>
  </si>
  <si>
    <t>Pozostała działalność</t>
  </si>
  <si>
    <t>Pomoc materialna dla uczniów</t>
  </si>
  <si>
    <t>Razem rozdział 85415</t>
  </si>
  <si>
    <t>Razem dział 754</t>
  </si>
  <si>
    <t>zakup usług pozostałych</t>
  </si>
  <si>
    <t>01005</t>
  </si>
  <si>
    <t>Wynagrodzenie osobowe pracowników</t>
  </si>
  <si>
    <t>dodatkowe wynagrodzenie roczne</t>
  </si>
  <si>
    <t>Zakup materiałów i wyposażenia</t>
  </si>
  <si>
    <t>zakup energii</t>
  </si>
  <si>
    <t>zakup usług remontowych</t>
  </si>
  <si>
    <t xml:space="preserve">Podróze słuzbowe krajowe </t>
  </si>
  <si>
    <t xml:space="preserve">różne opłaty i składki </t>
  </si>
  <si>
    <t>Odpisy na ZFŚS</t>
  </si>
  <si>
    <t>Podatek od nieruchomosci</t>
  </si>
  <si>
    <t>Dział 600 Transport i Łączność</t>
  </si>
  <si>
    <t>60014</t>
  </si>
  <si>
    <t>Drogi publiczne i powiatowe</t>
  </si>
  <si>
    <t>Różne wydatki na rzecz osób fizycznych</t>
  </si>
  <si>
    <t>Razem rozdział 60014</t>
  </si>
  <si>
    <t>Razem dział 600</t>
  </si>
  <si>
    <t>Rada Powiatu</t>
  </si>
  <si>
    <t xml:space="preserve">Różne opłaty i składki </t>
  </si>
  <si>
    <t>Zakup usług pozostałych</t>
  </si>
  <si>
    <t>Składki Funduszu Pracy</t>
  </si>
  <si>
    <t>Składki na ubezpieczenia społeczne</t>
  </si>
  <si>
    <t>Dodatkowe wynagrodzenie roczne</t>
  </si>
  <si>
    <t>PFRON</t>
  </si>
  <si>
    <t>6060</t>
  </si>
  <si>
    <t>Dot.podm.dla pozost.jedn.sektora fin.publ.</t>
  </si>
  <si>
    <t>Uposażenie funkcjonariuszy</t>
  </si>
  <si>
    <t>Pozostałe wynagrodzenie funkcjonariuszy</t>
  </si>
  <si>
    <t>Nagrody roczne dla funkcjonariuszy</t>
  </si>
  <si>
    <t>Zakup leków i mat.medycznych</t>
  </si>
  <si>
    <t>Zakup środków żywności</t>
  </si>
  <si>
    <t>4520</t>
  </si>
  <si>
    <t>Opłaty na rzecz budżetu jst.</t>
  </si>
  <si>
    <t>Zakup sprzętu i uzbrojenia</t>
  </si>
  <si>
    <t>Dział 757 Obsługa długu publicznego</t>
  </si>
  <si>
    <t>Razem rozdział 75702</t>
  </si>
  <si>
    <t>4240</t>
  </si>
  <si>
    <t>Zakup pomocy naukowych</t>
  </si>
  <si>
    <t>4280</t>
  </si>
  <si>
    <t>Zakup usług zdrowotnych</t>
  </si>
  <si>
    <t>Gimnazja specjalne</t>
  </si>
  <si>
    <t>Razem rozdział 80111</t>
  </si>
  <si>
    <t xml:space="preserve">Dotacje celowe realizowane na podstawie porozumien </t>
  </si>
  <si>
    <t>Szpitale ogólne</t>
  </si>
  <si>
    <t>Razem rozdział 85111</t>
  </si>
  <si>
    <t>Odsetki od nieterminowych wpłat z podatków</t>
  </si>
  <si>
    <t>Razem rozdział 85156</t>
  </si>
  <si>
    <t>Dotacja celowa z budżetu na finansowanie lub dofinansowanie zadań zleconych do realizacji pozostałym jednostkom nie zaliczanym do sektora finansów publicznych</t>
  </si>
  <si>
    <t>Świadczenia społeczne</t>
  </si>
  <si>
    <t>Poradnie psychologiczno-pedagogiczne oraz inne poradnie specjalistyczne</t>
  </si>
  <si>
    <t>Razem rozdział 85406</t>
  </si>
  <si>
    <t>3240</t>
  </si>
  <si>
    <t>Stypendia i inne formy pomocy dla uczniów</t>
  </si>
  <si>
    <t xml:space="preserve">Dział 921 Kultura i ochrona dziedzictwa narodowego </t>
  </si>
  <si>
    <t>Razem rozdział 92195</t>
  </si>
  <si>
    <t>Razem dział 921</t>
  </si>
  <si>
    <t>Razem dział 926</t>
  </si>
  <si>
    <t>Razem rozdział 92695</t>
  </si>
  <si>
    <t>Ogółem wydatki</t>
  </si>
  <si>
    <t>Dział 926 Kultura fizyczna i sport</t>
  </si>
  <si>
    <t>Razem rozdział 80102</t>
  </si>
  <si>
    <t>Podróże służbowe krajowe</t>
  </si>
  <si>
    <t>Pozostałe odsetki</t>
  </si>
  <si>
    <t>Kary i odszkodowania wypłacane na rzecz osób fizycznych</t>
  </si>
  <si>
    <t>Placówki opiekuńczo-wychowawcze</t>
  </si>
  <si>
    <t>Wypłaty z tytułu poręczeń spłaty krajowych kredytów bankowych</t>
  </si>
  <si>
    <t>Zakup energii</t>
  </si>
  <si>
    <t>Zakup usług remontowych</t>
  </si>
  <si>
    <t>Składki na ubezpieczenia zdrowotne oraz świadczenia dla osób nie objetych obowiązkiem ubezpieczenia zdrowotnego</t>
  </si>
  <si>
    <t>Dział 010 Rolnictwo i łowiectwo</t>
  </si>
  <si>
    <t>Podatek od nieruchomości</t>
  </si>
  <si>
    <t>Dot.przedm.dla jedn.nie zal. do  s.f.p..</t>
  </si>
  <si>
    <t>Nagr.i wyd.osob. zaliczane do wynagr.</t>
  </si>
  <si>
    <t>Rozl. z bankami związane z obsł. dł. publ.o</t>
  </si>
  <si>
    <t xml:space="preserve">Wypłaty z tytułu pozostałych por.i gwar. </t>
  </si>
  <si>
    <t>Gospodarka leśna</t>
  </si>
  <si>
    <t>Składki na Fundusz Pracy</t>
  </si>
  <si>
    <t>Dotacje celowe przekazane gminie na zadania bieżące realizowane na podstawie porozumień między jst.</t>
  </si>
  <si>
    <t>Uposażenie oraz świadczenie wypł.  przez rok</t>
  </si>
  <si>
    <t>Rezerwa ogólna</t>
  </si>
  <si>
    <t>Razem rozdział 75704</t>
  </si>
  <si>
    <t>80146</t>
  </si>
  <si>
    <t>Dokształcenie i doskonalenie nauczycieli</t>
  </si>
  <si>
    <t>Razem rozdział 80146</t>
  </si>
  <si>
    <t>Biblioteki</t>
  </si>
  <si>
    <t>Razem rozdział 92116</t>
  </si>
  <si>
    <t>Razem dział 757</t>
  </si>
  <si>
    <t>Dział 852 Pomoc społeczna</t>
  </si>
  <si>
    <t>Razem rozdział 85201</t>
  </si>
  <si>
    <t>Razem rozdział 85202</t>
  </si>
  <si>
    <t>Razem rozdział 85204</t>
  </si>
  <si>
    <t>Razem rozdział 85218</t>
  </si>
  <si>
    <t>Razem dział 852</t>
  </si>
  <si>
    <t>Dział 853 Pozostałe zadania w  zakresie polityki społecznej</t>
  </si>
  <si>
    <t>Opłaty na rzecz budżetów jst</t>
  </si>
  <si>
    <t>02002</t>
  </si>
  <si>
    <t>Dot.celowe przekaz. Na zad. w ramach por. m. Jst</t>
  </si>
  <si>
    <t>Dot. Przedmiotowa przekaz. Jednostce</t>
  </si>
  <si>
    <t>Wynagrodzenie członków korpusu cywilnego</t>
  </si>
  <si>
    <t>Wydatki inwestycyjne jst.</t>
  </si>
  <si>
    <t>Pozostałe podatki na rzecz budżetu jst.</t>
  </si>
  <si>
    <t>opłaty na rzecz budzetu państwa</t>
  </si>
  <si>
    <t>4600</t>
  </si>
  <si>
    <t>Kary i odszkodowania wypłacane na rzecz</t>
  </si>
  <si>
    <t>4810</t>
  </si>
  <si>
    <t>4580</t>
  </si>
  <si>
    <t>4590</t>
  </si>
  <si>
    <t>4570</t>
  </si>
  <si>
    <t>Razem wydatki</t>
  </si>
  <si>
    <t>nazwa wydatku</t>
  </si>
  <si>
    <t>Plan na 2004r.</t>
  </si>
  <si>
    <t>Przewidywane wykonanie w 2003r.</t>
  </si>
  <si>
    <t>tabela nr 2 - Wydatki według paragrafów</t>
  </si>
  <si>
    <t>Sporzadziła: Barbara Myślińska</t>
  </si>
  <si>
    <t>Dział 010</t>
  </si>
  <si>
    <t>Dział 020</t>
  </si>
  <si>
    <t xml:space="preserve">Dział </t>
  </si>
  <si>
    <t>Razem rozdział 80195</t>
  </si>
  <si>
    <t>Zmniejszenie</t>
  </si>
  <si>
    <t>Zwiększenie</t>
  </si>
  <si>
    <t>Szkoły zawodowe specjalne</t>
  </si>
  <si>
    <t xml:space="preserve">Wynagrodzenia osobowe pracowników </t>
  </si>
  <si>
    <t>Razem rozdział 85446</t>
  </si>
  <si>
    <t>Razem rozdział 85495</t>
  </si>
  <si>
    <t>Koszty postępowania sądowego i prokuratorskiego</t>
  </si>
  <si>
    <t>Jednostki specjalistycznego poradnictwa, mieszkania chronione i ośrodki interwencji kryzysowej</t>
  </si>
  <si>
    <t>Razem rozdział 85220</t>
  </si>
  <si>
    <t>Razem rozdział 71015</t>
  </si>
  <si>
    <t>Razem rozdział 75019</t>
  </si>
  <si>
    <t>Składki na ubezpieczenie społeczne</t>
  </si>
  <si>
    <t>3249</t>
  </si>
  <si>
    <t>Razem rozdział 85324</t>
  </si>
  <si>
    <t>Wynagrodzenia bezosobowe</t>
  </si>
  <si>
    <t>zakup pomocy naukowych</t>
  </si>
  <si>
    <t>zakup usług zdrowotnych</t>
  </si>
  <si>
    <t>Opłaty za usługi internetowe</t>
  </si>
  <si>
    <t>Wynagrodzenie bezosobowe</t>
  </si>
  <si>
    <t>Nagrody motywacyjne</t>
  </si>
  <si>
    <t>Wskaźnik %</t>
  </si>
  <si>
    <t>Struktura wydatków</t>
  </si>
  <si>
    <t>Wydatki osobowe nie zaliczane do wyn.</t>
  </si>
  <si>
    <t>4610</t>
  </si>
  <si>
    <t>Wydatki osobowe nie zal. do wynagrodzeń</t>
  </si>
  <si>
    <t>Równoważniki pieniężne i ekw. dla funkcj.</t>
  </si>
  <si>
    <t>Razem rozdział 80134</t>
  </si>
  <si>
    <t>Razem rozdział 85395</t>
  </si>
  <si>
    <t>Wypłaty z tytułu gwarancji i poręczeń</t>
  </si>
  <si>
    <t>Dotacja podmiotowa z budżetu dla jednostek niezaliczanych do sfp</t>
  </si>
  <si>
    <t>Dział 803  Szkolnictwo wyższe</t>
  </si>
  <si>
    <t>Pomoc materialna dla studentów</t>
  </si>
  <si>
    <t>Razem rozdział 80309</t>
  </si>
  <si>
    <t>Razem dział 803</t>
  </si>
  <si>
    <t>3248</t>
  </si>
  <si>
    <t>4118</t>
  </si>
  <si>
    <t>Podpisy członków Zarządu:</t>
  </si>
  <si>
    <t>Wpłaty na PFRON</t>
  </si>
  <si>
    <t>Stypendia i zasiłki dla studentów</t>
  </si>
  <si>
    <t>Wynagrozdenia bezosobowe</t>
  </si>
  <si>
    <t xml:space="preserve">Pokrycie ujemnego wyniku finansowego i przejętych zobowiązań po likwidowanych i przekształcanych jedn.zaliczanych do fp </t>
  </si>
  <si>
    <t>Wydatki osobowe niezaliczne do wynagrodzeń</t>
  </si>
  <si>
    <t>Dodatkowe wynagrodzenia roczne</t>
  </si>
  <si>
    <t>Przewidywane wykonanie roku 2005</t>
  </si>
  <si>
    <t>Plan na 2006r.</t>
  </si>
  <si>
    <t>Dotacja celowa z budżetu na finansowanie zadań zleconych do realizacji stowarzyszeniom</t>
  </si>
  <si>
    <t>Zakup srodków żywności</t>
  </si>
  <si>
    <t>Zwrot dotacji wykorzystanych niezgodnie z przeznaczeniem lub pobranych w nadmiernej wysokości</t>
  </si>
  <si>
    <t>Razem rozdział 85295</t>
  </si>
  <si>
    <t>Dot.przedmiotowa dla jedn.nie zal. Do s.f.p.</t>
  </si>
  <si>
    <t>Zadania w zakresie kultury fizycznej i  sportu</t>
  </si>
  <si>
    <t>Razem rozdział 92605</t>
  </si>
  <si>
    <t>Dział 758 Różne rozliczenia</t>
  </si>
  <si>
    <t>Razem dział 758</t>
  </si>
  <si>
    <t>Podróze słuzbowe zagraniczne</t>
  </si>
  <si>
    <t>Dotacja celowa na pomoc finansową udzieloną między jednostkami samorządu terytorialnego na dofinansowanie własnych zadań i zakupów inwestycyjnych</t>
  </si>
  <si>
    <t>Promocja jednostek samorządu terytorialnego</t>
  </si>
  <si>
    <t>Razem rozdział 75075</t>
  </si>
  <si>
    <t>*</t>
  </si>
  <si>
    <t>Dowożenie uczniów do szkół</t>
  </si>
  <si>
    <t>Razem rozdział 80113</t>
  </si>
  <si>
    <t>Ochrona zabytków i opieka nad zabytkami</t>
  </si>
  <si>
    <t>Razem rozdział 92120</t>
  </si>
  <si>
    <t>Dział 751 Urzędy naczelnych organów władzy państwowej, kontroli i ochrony prawa oraz sądownictwa</t>
  </si>
  <si>
    <t>Wybory do rad gmin, rad powiatów i sejmników województw, wybory wójtów, burmistrzów i prezydentów miast oraz referenda wójtów, burmistrzów i prezydentów miast oraz referenda gminne, powiatowe i wojewódzkie</t>
  </si>
  <si>
    <t>Razem rozdział 75109</t>
  </si>
  <si>
    <t>Razem dział 751</t>
  </si>
  <si>
    <t>Szkolenie członków korpusu służby cywilnej</t>
  </si>
  <si>
    <t>Zakup materiałów papierniczych do sprzętu drukarskiego i urządzeń kserograficznych</t>
  </si>
  <si>
    <t>4740</t>
  </si>
  <si>
    <t>4750</t>
  </si>
  <si>
    <t>Szkolenie pracowników nie będącymi członkami korpusu służby cywilnej</t>
  </si>
  <si>
    <t>Wydatki inwestycyjne jednostek budżetowych</t>
  </si>
  <si>
    <t>Opłaty czynszowe za pomieszczenie biurowe</t>
  </si>
  <si>
    <t>Dział 630 Turystyka</t>
  </si>
  <si>
    <t>Razem rozdział 63003</t>
  </si>
  <si>
    <t>Razem dział 630</t>
  </si>
  <si>
    <t>zakup usług dostępu do sieci Internet</t>
  </si>
  <si>
    <t>Wydatki osobowe nie zaliczane do uposażeń wypłacane żołnierzom i funkcjonariuszom</t>
  </si>
  <si>
    <t>Obsługa papierów wartościowych, kredytów i pożyczek jst</t>
  </si>
  <si>
    <t xml:space="preserve">Rezerwy ogólne i celowe </t>
  </si>
  <si>
    <t xml:space="preserve">Dotacje celowe przekazane dla powiatu na zadania bieżące realizowane na podstawie porozumien między jst </t>
  </si>
  <si>
    <t>Zespoły do spraw orzekania o niepełnosprawności</t>
  </si>
  <si>
    <t>Stypendia dla uczniów</t>
  </si>
  <si>
    <t>Dotacja celowa z budżetu na finansowanie lub dofinansowanie zadań zleconych do  realizacji stowarzyszeniom</t>
  </si>
  <si>
    <t>Wydatki na zakupy inwestycyjne jednostek budżetowych</t>
  </si>
  <si>
    <t>Plan na 2008 r.</t>
  </si>
  <si>
    <t>Przewidywane wykonanie roku 2007</t>
  </si>
  <si>
    <t>Plan  wydatków budżetowych Powiatu Sępoleńskiego na 2008 r.</t>
  </si>
  <si>
    <t>Zadania w zakresie upowszechniania turystyki</t>
  </si>
  <si>
    <t>Opłaty czynszowe za pomieszczenia biurowe</t>
  </si>
  <si>
    <t>Zakup usług obejmujący tłumaczenia</t>
  </si>
  <si>
    <t>Wynagrodzenia osobowe członków korpusu służby cywilnej</t>
  </si>
  <si>
    <t>Zakup sprzetu i uzbrojenia</t>
  </si>
  <si>
    <t>Opłaty z tytułu zakupu usług telekomunikacyjnych telefonii komórkowej</t>
  </si>
  <si>
    <t>Dotacje celowe przekazane dla samorzadu województwana zadania bieżace realizowane na postawie porozumień mieędzy jst.</t>
  </si>
  <si>
    <t>Ratownictwo medyczne</t>
  </si>
  <si>
    <t>Rehabilitacja zawodowa i społeczna osób niepełnosprawnych</t>
  </si>
  <si>
    <t>Razem rozdział 85311</t>
  </si>
  <si>
    <t>Dotacja podmiotowa z budżetu dla jednostek niezaliczanych do sfp.</t>
  </si>
  <si>
    <t>Podróże słuzbowe krajowe</t>
  </si>
  <si>
    <t>Szkolenie pracowników nie będących człnkami korpusu słuzby cywilnej</t>
  </si>
  <si>
    <t>Zakład usług zdrowotnych</t>
  </si>
  <si>
    <t>Sprządziła: Anna Hajduk-Kowalczyk</t>
  </si>
  <si>
    <t>6050</t>
  </si>
  <si>
    <t>Wydatki  inwestycyjne jednostek budżetowych</t>
  </si>
  <si>
    <t>Wydatki osobowe niezaliczane do wynagrodzeń</t>
  </si>
  <si>
    <t>80148</t>
  </si>
  <si>
    <t>Stołówki szkolne</t>
  </si>
  <si>
    <t>zakup materiałów i wyposażenia</t>
  </si>
  <si>
    <t>zakup materiałów papierniczych do sprzetu drukarskiego i urzadzeń kserograficznych</t>
  </si>
  <si>
    <t>Razem rozdział 80148</t>
  </si>
  <si>
    <t>Dotacja podmiotowa z budzetu dla niepublicznej jednostki systemu oświaty</t>
  </si>
  <si>
    <t>Opłaty z tytułu zakupu usług telekomunikacyjnych telefoni komórkowej</t>
  </si>
  <si>
    <t>Opłaty z tytułu zakupu usług telekomunikacyjnych telefoni stacjonarnej</t>
  </si>
  <si>
    <t>Pozostałe podatki na rzecz budżetów jst</t>
  </si>
  <si>
    <t>zakup materiałów i wyposazenia</t>
  </si>
  <si>
    <t>Wynagrodzenia osobowe pracowników</t>
  </si>
  <si>
    <t>Wynagrodzenia członków korpusu służby cywilnej</t>
  </si>
  <si>
    <t>Urzędy wojewódzkie</t>
  </si>
  <si>
    <t>z]akup usług pozostałych</t>
  </si>
  <si>
    <t>Zakup usług dostępu do sieci Internet</t>
  </si>
  <si>
    <t>Uposażenie żołnierzy zawodowych i nadterm. oraz funkcjonariuszy</t>
  </si>
  <si>
    <t>Pozostałe nalezności żołnierzy zawodowych i nadterm. oraz funkcjonariuszy</t>
  </si>
  <si>
    <t>Dodatkowe uposazenie roczne dla żołnierzy zawodowych oraz nagrody roczne dla funkcjonariuszy</t>
  </si>
  <si>
    <t>Równoważniki pieniężne i ekw. dla  żołnierzy i funkcjonariuszy</t>
  </si>
  <si>
    <t>Odsetki i dyskonto  od krajowych skarb. pap. wart.  oraz od krajowych pożyczek i kredytów</t>
  </si>
  <si>
    <t>Rozliczenie z poreczeń i gwar.udzielonych przez Skarb Państwa  lub jst.</t>
  </si>
  <si>
    <t>rezerwa celowa</t>
  </si>
  <si>
    <t>Opłaty z tytułu  zakupu usług telekomunikacyjnych telefonii stacjonarnej</t>
  </si>
  <si>
    <t xml:space="preserve">Podróże służbowe krajowe </t>
  </si>
  <si>
    <t>Szkolenie pracowników nie będących członkami korpusu służby cywilnej</t>
  </si>
  <si>
    <t>Zakup akcesoriów komputerowych, w tym programów i licencji</t>
  </si>
  <si>
    <t>Opłaty z tytułu zakupu usług telekomunikacyjnych telefonii stacjonarnej</t>
  </si>
  <si>
    <t>Opłaty z tytułu zakup usług telekomunikacyjnych telefonii stacjonarnej</t>
  </si>
  <si>
    <t xml:space="preserve">Dotacje celowe przekazane dla powiatu na zadania bież. Realizowane na podst. porozumień między jst </t>
  </si>
  <si>
    <t>Opłaty z tytułu zakupum usług telekomunikacyjnych telefonii stacjonarnej</t>
  </si>
  <si>
    <t>Szkolenie pracowników nie będącyhczłonkami korpusu służby cywilnej</t>
  </si>
  <si>
    <t>Wynagrodzenae osobowe pracowników</t>
  </si>
  <si>
    <t>Szkolenie pracowników nie będącyh członkami korpusu służby cywilnej</t>
  </si>
  <si>
    <t>Opłaty z tytułu zakupu usług telefonii komórkowej</t>
  </si>
  <si>
    <t>Opłaty z tytułu usług telekomunikacyjnych telefonii stacjonarnej</t>
  </si>
  <si>
    <t>Opłaty z tytułu zxakupu usług telekomunikacyjnych telefonii komórkowej</t>
  </si>
  <si>
    <t>Załącznik nr 2a do uchwały budżetowej Powiatu Sepoleńskiego na rok 2008</t>
  </si>
  <si>
    <t>6610</t>
  </si>
  <si>
    <t>Dotacje celowe przekazane gminie na inwestycje i zakupy inwestycyjne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</si>
</sst>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\ _z_ł_-;\-* #,##0.0\ _z_ł_-;_-* &quot;-&quot;??\ _z_ł_-;_-@_-"/>
    <numFmt numFmtId="171" formatCode="#,##0.00;[Red]#,##0.00"/>
    <numFmt numFmtId="172" formatCode="#,##0.00_ ;\-#,##0.00\ "/>
    <numFmt numFmtId="173" formatCode="0.0%"/>
    <numFmt numFmtId="174" formatCode="#,##0.00_ ;[Red]\-#,##0.00\ "/>
  </numFmts>
  <fonts count="24">
    <font>
      <sz val="10"/>
      <name val="Arial C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8"/>
      <name val="Times New Roman Baltic"/>
      <family val="1"/>
    </font>
    <font>
      <b/>
      <i/>
      <sz val="8"/>
      <name val="Arial CE"/>
      <family val="0"/>
    </font>
    <font>
      <sz val="10"/>
      <name val="Times New Roman"/>
      <family val="1"/>
    </font>
    <font>
      <b/>
      <i/>
      <sz val="11"/>
      <color indexed="18"/>
      <name val="Times New Roman"/>
      <family val="1"/>
    </font>
    <font>
      <b/>
      <sz val="16"/>
      <color indexed="18"/>
      <name val="Book Antiqua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18"/>
      <name val="Times New Roman"/>
      <family val="1"/>
    </font>
    <font>
      <b/>
      <sz val="8"/>
      <name val="Book Antiqua"/>
      <family val="1"/>
    </font>
    <font>
      <b/>
      <sz val="12"/>
      <color indexed="18"/>
      <name val="Book Antiqua"/>
      <family val="1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 Baltic"/>
      <family val="1"/>
    </font>
    <font>
      <b/>
      <i/>
      <u val="single"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40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4" fontId="18" fillId="0" borderId="4" xfId="0" applyNumberFormat="1" applyFont="1" applyBorder="1" applyAlignment="1">
      <alignment/>
    </xf>
    <xf numFmtId="4" fontId="18" fillId="0" borderId="5" xfId="0" applyNumberFormat="1" applyFont="1" applyBorder="1" applyAlignment="1">
      <alignment/>
    </xf>
    <xf numFmtId="4" fontId="18" fillId="0" borderId="6" xfId="0" applyNumberFormat="1" applyFont="1" applyBorder="1" applyAlignment="1">
      <alignment/>
    </xf>
    <xf numFmtId="0" fontId="18" fillId="2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vertical="center" wrapText="1"/>
    </xf>
    <xf numFmtId="4" fontId="23" fillId="0" borderId="3" xfId="0" applyNumberFormat="1" applyFont="1" applyBorder="1" applyAlignment="1">
      <alignment/>
    </xf>
    <xf numFmtId="0" fontId="18" fillId="0" borderId="4" xfId="0" applyFont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4" fontId="23" fillId="0" borderId="5" xfId="0" applyNumberFormat="1" applyFont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23" fillId="0" borderId="11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2" fillId="4" borderId="2" xfId="0" applyNumberFormat="1" applyFont="1" applyFill="1" applyBorder="1" applyAlignment="1">
      <alignment/>
    </xf>
    <xf numFmtId="4" fontId="22" fillId="4" borderId="7" xfId="0" applyNumberFormat="1" applyFont="1" applyFill="1" applyBorder="1" applyAlignment="1">
      <alignment/>
    </xf>
    <xf numFmtId="0" fontId="23" fillId="0" borderId="0" xfId="0" applyFont="1" applyAlignment="1">
      <alignment/>
    </xf>
    <xf numFmtId="4" fontId="18" fillId="0" borderId="3" xfId="0" applyNumberFormat="1" applyFont="1" applyBorder="1" applyAlignment="1">
      <alignment horizontal="right" vertical="center" wrapText="1"/>
    </xf>
    <xf numFmtId="49" fontId="16" fillId="0" borderId="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4" fontId="18" fillId="0" borderId="17" xfId="0" applyNumberFormat="1" applyFont="1" applyBorder="1" applyAlignment="1">
      <alignment horizontal="right"/>
    </xf>
    <xf numFmtId="4" fontId="23" fillId="0" borderId="3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4" fontId="22" fillId="6" borderId="19" xfId="0" applyNumberFormat="1" applyFont="1" applyFill="1" applyBorder="1" applyAlignment="1">
      <alignment horizontal="right"/>
    </xf>
    <xf numFmtId="9" fontId="0" fillId="6" borderId="1" xfId="0" applyNumberFormat="1" applyFill="1" applyBorder="1" applyAlignment="1">
      <alignment/>
    </xf>
    <xf numFmtId="9" fontId="0" fillId="6" borderId="20" xfId="0" applyNumberFormat="1" applyFill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9" fontId="0" fillId="0" borderId="5" xfId="0" applyNumberFormat="1" applyBorder="1" applyAlignment="1">
      <alignment/>
    </xf>
    <xf numFmtId="0" fontId="10" fillId="7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173" fontId="0" fillId="0" borderId="0" xfId="0" applyNumberFormat="1" applyAlignment="1">
      <alignment horizontal="center" vertical="center" wrapText="1"/>
    </xf>
    <xf numFmtId="173" fontId="7" fillId="3" borderId="7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 horizontal="center" wrapText="1"/>
    </xf>
    <xf numFmtId="173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21" fillId="0" borderId="6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173" fontId="18" fillId="0" borderId="5" xfId="0" applyNumberFormat="1" applyFont="1" applyBorder="1" applyAlignment="1">
      <alignment horizontal="center" vertical="center" wrapText="1"/>
    </xf>
    <xf numFmtId="173" fontId="10" fillId="7" borderId="7" xfId="0" applyNumberFormat="1" applyFont="1" applyFill="1" applyBorder="1" applyAlignment="1">
      <alignment horizontal="center"/>
    </xf>
    <xf numFmtId="173" fontId="2" fillId="8" borderId="7" xfId="0" applyNumberFormat="1" applyFont="1" applyFill="1" applyBorder="1" applyAlignment="1">
      <alignment horizontal="center"/>
    </xf>
    <xf numFmtId="173" fontId="18" fillId="0" borderId="5" xfId="0" applyNumberFormat="1" applyFont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173" fontId="18" fillId="0" borderId="27" xfId="0" applyNumberFormat="1" applyFont="1" applyBorder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173" fontId="23" fillId="0" borderId="27" xfId="0" applyNumberFormat="1" applyFont="1" applyBorder="1" applyAlignment="1">
      <alignment horizontal="center"/>
    </xf>
    <xf numFmtId="173" fontId="23" fillId="0" borderId="27" xfId="0" applyNumberFormat="1" applyFont="1" applyBorder="1" applyAlignment="1">
      <alignment horizontal="center" vertical="center" wrapText="1"/>
    </xf>
    <xf numFmtId="173" fontId="10" fillId="7" borderId="7" xfId="0" applyNumberFormat="1" applyFont="1" applyFill="1" applyBorder="1" applyAlignment="1">
      <alignment horizontal="center" vertical="center" wrapText="1"/>
    </xf>
    <xf numFmtId="173" fontId="23" fillId="0" borderId="5" xfId="0" applyNumberFormat="1" applyFont="1" applyBorder="1" applyAlignment="1">
      <alignment horizontal="center" vertical="center" wrapText="1"/>
    </xf>
    <xf numFmtId="173" fontId="18" fillId="0" borderId="27" xfId="0" applyNumberFormat="1" applyFont="1" applyFill="1" applyBorder="1" applyAlignment="1">
      <alignment horizontal="center" vertical="center"/>
    </xf>
    <xf numFmtId="173" fontId="10" fillId="7" borderId="7" xfId="0" applyNumberFormat="1" applyFont="1" applyFill="1" applyBorder="1" applyAlignment="1">
      <alignment horizontal="center" vertical="center"/>
    </xf>
    <xf numFmtId="173" fontId="18" fillId="7" borderId="7" xfId="0" applyNumberFormat="1" applyFont="1" applyFill="1" applyBorder="1" applyAlignment="1">
      <alignment horizontal="center"/>
    </xf>
    <xf numFmtId="173" fontId="18" fillId="7" borderId="19" xfId="0" applyNumberFormat="1" applyFont="1" applyFill="1" applyBorder="1" applyAlignment="1">
      <alignment horizontal="center"/>
    </xf>
    <xf numFmtId="173" fontId="18" fillId="8" borderId="7" xfId="0" applyNumberFormat="1" applyFont="1" applyFill="1" applyBorder="1" applyAlignment="1">
      <alignment horizontal="center"/>
    </xf>
    <xf numFmtId="173" fontId="2" fillId="9" borderId="7" xfId="0" applyNumberFormat="1" applyFont="1" applyFill="1" applyBorder="1" applyAlignment="1">
      <alignment horizontal="center"/>
    </xf>
    <xf numFmtId="173" fontId="19" fillId="4" borderId="7" xfId="0" applyNumberFormat="1" applyFont="1" applyFill="1" applyBorder="1" applyAlignment="1">
      <alignment horizontal="center"/>
    </xf>
    <xf numFmtId="49" fontId="10" fillId="7" borderId="23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173" fontId="18" fillId="0" borderId="29" xfId="0" applyNumberFormat="1" applyFont="1" applyBorder="1" applyAlignment="1">
      <alignment horizontal="center"/>
    </xf>
    <xf numFmtId="174" fontId="23" fillId="0" borderId="3" xfId="0" applyNumberFormat="1" applyFont="1" applyBorder="1" applyAlignment="1">
      <alignment horizontal="right" vertical="center" wrapText="1"/>
    </xf>
    <xf numFmtId="174" fontId="23" fillId="0" borderId="2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/>
    </xf>
    <xf numFmtId="173" fontId="18" fillId="0" borderId="19" xfId="0" applyNumberFormat="1" applyFont="1" applyFill="1" applyBorder="1" applyAlignment="1">
      <alignment horizontal="center" vertical="center"/>
    </xf>
    <xf numFmtId="173" fontId="18" fillId="0" borderId="5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center" vertical="center" wrapText="1"/>
    </xf>
    <xf numFmtId="173" fontId="23" fillId="0" borderId="19" xfId="0" applyNumberFormat="1" applyFont="1" applyBorder="1" applyAlignment="1">
      <alignment horizontal="center" vertical="center" wrapText="1"/>
    </xf>
    <xf numFmtId="174" fontId="7" fillId="3" borderId="2" xfId="0" applyNumberFormat="1" applyFont="1" applyFill="1" applyBorder="1" applyAlignment="1">
      <alignment horizontal="center" vertical="center" wrapText="1"/>
    </xf>
    <xf numFmtId="174" fontId="7" fillId="3" borderId="2" xfId="0" applyNumberFormat="1" applyFont="1" applyFill="1" applyBorder="1" applyAlignment="1">
      <alignment horizontal="right" vertical="center"/>
    </xf>
    <xf numFmtId="174" fontId="7" fillId="3" borderId="14" xfId="0" applyNumberFormat="1" applyFont="1" applyFill="1" applyBorder="1" applyAlignment="1">
      <alignment horizontal="center" vertical="center" wrapText="1"/>
    </xf>
    <xf numFmtId="174" fontId="5" fillId="5" borderId="2" xfId="0" applyNumberFormat="1" applyFont="1" applyFill="1" applyBorder="1" applyAlignment="1">
      <alignment horizontal="center" vertical="center"/>
    </xf>
    <xf numFmtId="174" fontId="5" fillId="5" borderId="2" xfId="0" applyNumberFormat="1" applyFont="1" applyFill="1" applyBorder="1" applyAlignment="1">
      <alignment horizontal="center"/>
    </xf>
    <xf numFmtId="174" fontId="23" fillId="0" borderId="11" xfId="0" applyNumberFormat="1" applyFont="1" applyBorder="1" applyAlignment="1">
      <alignment/>
    </xf>
    <xf numFmtId="174" fontId="23" fillId="0" borderId="11" xfId="0" applyNumberFormat="1" applyFont="1" applyBorder="1" applyAlignment="1">
      <alignment horizontal="right" wrapText="1"/>
    </xf>
    <xf numFmtId="174" fontId="23" fillId="0" borderId="31" xfId="0" applyNumberFormat="1" applyFont="1" applyBorder="1" applyAlignment="1">
      <alignment/>
    </xf>
    <xf numFmtId="174" fontId="10" fillId="7" borderId="2" xfId="0" applyNumberFormat="1" applyFont="1" applyFill="1" applyBorder="1" applyAlignment="1">
      <alignment/>
    </xf>
    <xf numFmtId="174" fontId="10" fillId="7" borderId="2" xfId="0" applyNumberFormat="1" applyFont="1" applyFill="1" applyBorder="1" applyAlignment="1">
      <alignment horizontal="right"/>
    </xf>
    <xf numFmtId="174" fontId="10" fillId="7" borderId="14" xfId="0" applyNumberFormat="1" applyFont="1" applyFill="1" applyBorder="1" applyAlignment="1">
      <alignment/>
    </xf>
    <xf numFmtId="174" fontId="2" fillId="8" borderId="2" xfId="0" applyNumberFormat="1" applyFont="1" applyFill="1" applyBorder="1" applyAlignment="1">
      <alignment/>
    </xf>
    <xf numFmtId="174" fontId="18" fillId="0" borderId="11" xfId="0" applyNumberFormat="1" applyFont="1" applyBorder="1" applyAlignment="1">
      <alignment/>
    </xf>
    <xf numFmtId="174" fontId="18" fillId="0" borderId="11" xfId="0" applyNumberFormat="1" applyFont="1" applyBorder="1" applyAlignment="1">
      <alignment horizontal="right" wrapText="1"/>
    </xf>
    <xf numFmtId="174" fontId="18" fillId="0" borderId="31" xfId="0" applyNumberFormat="1" applyFont="1" applyBorder="1" applyAlignment="1">
      <alignment/>
    </xf>
    <xf numFmtId="174" fontId="10" fillId="7" borderId="2" xfId="0" applyNumberFormat="1" applyFont="1" applyFill="1" applyBorder="1" applyAlignment="1">
      <alignment/>
    </xf>
    <xf numFmtId="174" fontId="10" fillId="7" borderId="14" xfId="0" applyNumberFormat="1" applyFont="1" applyFill="1" applyBorder="1" applyAlignment="1">
      <alignment/>
    </xf>
    <xf numFmtId="174" fontId="16" fillId="0" borderId="3" xfId="15" applyNumberFormat="1" applyFont="1" applyBorder="1" applyAlignment="1">
      <alignment horizontal="right" vertical="center" wrapText="1"/>
    </xf>
    <xf numFmtId="174" fontId="18" fillId="0" borderId="3" xfId="0" applyNumberFormat="1" applyFont="1" applyBorder="1" applyAlignment="1">
      <alignment horizontal="right" wrapText="1"/>
    </xf>
    <xf numFmtId="174" fontId="16" fillId="0" borderId="24" xfId="15" applyNumberFormat="1" applyFont="1" applyBorder="1" applyAlignment="1">
      <alignment horizontal="right" vertical="center" wrapText="1"/>
    </xf>
    <xf numFmtId="174" fontId="10" fillId="7" borderId="2" xfId="0" applyNumberFormat="1" applyFont="1" applyFill="1" applyBorder="1" applyAlignment="1">
      <alignment vertical="center" wrapText="1"/>
    </xf>
    <xf numFmtId="174" fontId="2" fillId="8" borderId="2" xfId="0" applyNumberFormat="1" applyFont="1" applyFill="1" applyBorder="1" applyAlignment="1">
      <alignment horizontal="right"/>
    </xf>
    <xf numFmtId="174" fontId="2" fillId="8" borderId="14" xfId="0" applyNumberFormat="1" applyFont="1" applyFill="1" applyBorder="1" applyAlignment="1">
      <alignment/>
    </xf>
    <xf numFmtId="174" fontId="18" fillId="0" borderId="3" xfId="0" applyNumberFormat="1" applyFont="1" applyBorder="1" applyAlignment="1">
      <alignment horizontal="right" vertical="center" wrapText="1"/>
    </xf>
    <xf numFmtId="174" fontId="18" fillId="0" borderId="24" xfId="0" applyNumberFormat="1" applyFont="1" applyBorder="1" applyAlignment="1">
      <alignment vertical="center" wrapText="1"/>
    </xf>
    <xf numFmtId="174" fontId="18" fillId="0" borderId="3" xfId="0" applyNumberFormat="1" applyFont="1" applyBorder="1" applyAlignment="1">
      <alignment horizontal="right" vertical="center"/>
    </xf>
    <xf numFmtId="174" fontId="18" fillId="0" borderId="11" xfId="0" applyNumberFormat="1" applyFont="1" applyBorder="1" applyAlignment="1">
      <alignment horizontal="right" vertical="center"/>
    </xf>
    <xf numFmtId="174" fontId="18" fillId="0" borderId="31" xfId="0" applyNumberFormat="1" applyFont="1" applyBorder="1" applyAlignment="1">
      <alignment vertical="center" wrapText="1"/>
    </xf>
    <xf numFmtId="174" fontId="18" fillId="0" borderId="13" xfId="0" applyNumberFormat="1" applyFont="1" applyBorder="1" applyAlignment="1">
      <alignment horizontal="right" vertical="center"/>
    </xf>
    <xf numFmtId="174" fontId="18" fillId="0" borderId="13" xfId="0" applyNumberFormat="1" applyFont="1" applyBorder="1" applyAlignment="1">
      <alignment horizontal="right" wrapText="1"/>
    </xf>
    <xf numFmtId="174" fontId="18" fillId="0" borderId="32" xfId="0" applyNumberFormat="1" applyFont="1" applyBorder="1" applyAlignment="1">
      <alignment vertical="center" wrapText="1"/>
    </xf>
    <xf numFmtId="174" fontId="10" fillId="7" borderId="2" xfId="0" applyNumberFormat="1" applyFont="1" applyFill="1" applyBorder="1" applyAlignment="1">
      <alignment vertical="center"/>
    </xf>
    <xf numFmtId="174" fontId="18" fillId="0" borderId="3" xfId="0" applyNumberFormat="1" applyFont="1" applyBorder="1" applyAlignment="1">
      <alignment vertical="center"/>
    </xf>
    <xf numFmtId="174" fontId="18" fillId="0" borderId="24" xfId="0" applyNumberFormat="1" applyFont="1" applyBorder="1" applyAlignment="1">
      <alignment vertical="center"/>
    </xf>
    <xf numFmtId="174" fontId="18" fillId="0" borderId="3" xfId="0" applyNumberFormat="1" applyFont="1" applyBorder="1" applyAlignment="1">
      <alignment/>
    </xf>
    <xf numFmtId="174" fontId="18" fillId="0" borderId="24" xfId="0" applyNumberFormat="1" applyFont="1" applyBorder="1" applyAlignment="1">
      <alignment/>
    </xf>
    <xf numFmtId="174" fontId="10" fillId="7" borderId="14" xfId="0" applyNumberFormat="1" applyFont="1" applyFill="1" applyBorder="1" applyAlignment="1">
      <alignment horizontal="right"/>
    </xf>
    <xf numFmtId="174" fontId="21" fillId="0" borderId="3" xfId="0" applyNumberFormat="1" applyFont="1" applyBorder="1" applyAlignment="1">
      <alignment horizontal="left" vertical="center" wrapText="1"/>
    </xf>
    <xf numFmtId="174" fontId="18" fillId="0" borderId="13" xfId="0" applyNumberFormat="1" applyFont="1" applyBorder="1" applyAlignment="1">
      <alignment horizontal="right" vertical="center" wrapText="1"/>
    </xf>
    <xf numFmtId="174" fontId="18" fillId="0" borderId="13" xfId="0" applyNumberFormat="1" applyFont="1" applyBorder="1" applyAlignment="1">
      <alignment/>
    </xf>
    <xf numFmtId="174" fontId="18" fillId="0" borderId="24" xfId="0" applyNumberFormat="1" applyFont="1" applyBorder="1" applyAlignment="1">
      <alignment horizontal="right" vertical="center" wrapText="1"/>
    </xf>
    <xf numFmtId="174" fontId="18" fillId="0" borderId="24" xfId="0" applyNumberFormat="1" applyFont="1" applyBorder="1" applyAlignment="1">
      <alignment horizontal="right" wrapText="1"/>
    </xf>
    <xf numFmtId="174" fontId="18" fillId="0" borderId="31" xfId="0" applyNumberFormat="1" applyFont="1" applyBorder="1" applyAlignment="1">
      <alignment horizontal="right" vertical="center" wrapText="1"/>
    </xf>
    <xf numFmtId="174" fontId="18" fillId="0" borderId="3" xfId="17" applyNumberFormat="1" applyFont="1" applyBorder="1" applyAlignment="1">
      <alignment/>
    </xf>
    <xf numFmtId="174" fontId="18" fillId="0" borderId="0" xfId="0" applyNumberFormat="1" applyFont="1" applyBorder="1" applyAlignment="1">
      <alignment/>
    </xf>
    <xf numFmtId="174" fontId="18" fillId="0" borderId="3" xfId="0" applyNumberFormat="1" applyFont="1" applyFill="1" applyBorder="1" applyAlignment="1">
      <alignment vertical="center"/>
    </xf>
    <xf numFmtId="174" fontId="18" fillId="0" borderId="3" xfId="0" applyNumberFormat="1" applyFont="1" applyFill="1" applyBorder="1" applyAlignment="1">
      <alignment horizontal="right" wrapText="1"/>
    </xf>
    <xf numFmtId="174" fontId="18" fillId="0" borderId="24" xfId="0" applyNumberFormat="1" applyFont="1" applyFill="1" applyBorder="1" applyAlignment="1">
      <alignment vertical="center"/>
    </xf>
    <xf numFmtId="174" fontId="18" fillId="0" borderId="25" xfId="0" applyNumberFormat="1" applyFont="1" applyBorder="1" applyAlignment="1">
      <alignment/>
    </xf>
    <xf numFmtId="174" fontId="18" fillId="0" borderId="25" xfId="0" applyNumberFormat="1" applyFont="1" applyBorder="1" applyAlignment="1">
      <alignment horizontal="right" wrapText="1"/>
    </xf>
    <xf numFmtId="174" fontId="18" fillId="0" borderId="33" xfId="0" applyNumberFormat="1" applyFont="1" applyBorder="1" applyAlignment="1">
      <alignment/>
    </xf>
    <xf numFmtId="174" fontId="18" fillId="0" borderId="11" xfId="0" applyNumberFormat="1" applyFont="1" applyFill="1" applyBorder="1" applyAlignment="1">
      <alignment vertical="center"/>
    </xf>
    <xf numFmtId="174" fontId="18" fillId="0" borderId="11" xfId="0" applyNumberFormat="1" applyFont="1" applyFill="1" applyBorder="1" applyAlignment="1">
      <alignment horizontal="right" wrapText="1"/>
    </xf>
    <xf numFmtId="174" fontId="18" fillId="0" borderId="31" xfId="0" applyNumberFormat="1" applyFont="1" applyFill="1" applyBorder="1" applyAlignment="1">
      <alignment vertical="center"/>
    </xf>
    <xf numFmtId="174" fontId="18" fillId="0" borderId="11" xfId="0" applyNumberFormat="1" applyFont="1" applyFill="1" applyBorder="1" applyAlignment="1">
      <alignment horizontal="right" vertical="center"/>
    </xf>
    <xf numFmtId="174" fontId="18" fillId="0" borderId="31" xfId="0" applyNumberFormat="1" applyFont="1" applyFill="1" applyBorder="1" applyAlignment="1">
      <alignment horizontal="right" vertical="center"/>
    </xf>
    <xf numFmtId="174" fontId="10" fillId="7" borderId="14" xfId="0" applyNumberFormat="1" applyFont="1" applyFill="1" applyBorder="1" applyAlignment="1">
      <alignment vertical="center"/>
    </xf>
    <xf numFmtId="174" fontId="18" fillId="0" borderId="3" xfId="0" applyNumberFormat="1" applyFont="1" applyBorder="1" applyAlignment="1">
      <alignment horizontal="right"/>
    </xf>
    <xf numFmtId="174" fontId="18" fillId="0" borderId="32" xfId="0" applyNumberFormat="1" applyFont="1" applyBorder="1" applyAlignment="1">
      <alignment/>
    </xf>
    <xf numFmtId="174" fontId="18" fillId="0" borderId="28" xfId="0" applyNumberFormat="1" applyFont="1" applyBorder="1" applyAlignment="1">
      <alignment/>
    </xf>
    <xf numFmtId="174" fontId="18" fillId="0" borderId="28" xfId="0" applyNumberFormat="1" applyFont="1" applyBorder="1" applyAlignment="1">
      <alignment horizontal="right" wrapText="1"/>
    </xf>
    <xf numFmtId="174" fontId="18" fillId="0" borderId="34" xfId="0" applyNumberFormat="1" applyFont="1" applyBorder="1" applyAlignment="1">
      <alignment/>
    </xf>
    <xf numFmtId="174" fontId="18" fillId="0" borderId="3" xfId="0" applyNumberFormat="1" applyFont="1" applyBorder="1" applyAlignment="1">
      <alignment vertical="center" wrapText="1"/>
    </xf>
    <xf numFmtId="174" fontId="18" fillId="0" borderId="13" xfId="0" applyNumberFormat="1" applyFont="1" applyBorder="1" applyAlignment="1">
      <alignment vertical="center" wrapText="1"/>
    </xf>
    <xf numFmtId="174" fontId="23" fillId="0" borderId="0" xfId="0" applyNumberFormat="1" applyFont="1" applyBorder="1" applyAlignment="1">
      <alignment horizontal="right" vertical="center" wrapText="1"/>
    </xf>
    <xf numFmtId="174" fontId="23" fillId="0" borderId="26" xfId="15" applyNumberFormat="1" applyFont="1" applyBorder="1" applyAlignment="1">
      <alignment horizontal="right" vertical="center" wrapText="1"/>
    </xf>
    <xf numFmtId="174" fontId="23" fillId="0" borderId="4" xfId="0" applyNumberFormat="1" applyFont="1" applyBorder="1" applyAlignment="1">
      <alignment horizontal="right" vertical="center" wrapText="1"/>
    </xf>
    <xf numFmtId="174" fontId="18" fillId="0" borderId="24" xfId="0" applyNumberFormat="1" applyFont="1" applyBorder="1" applyAlignment="1">
      <alignment horizontal="right" vertical="center"/>
    </xf>
    <xf numFmtId="174" fontId="18" fillId="0" borderId="25" xfId="0" applyNumberFormat="1" applyFont="1" applyBorder="1" applyAlignment="1">
      <alignment horizontal="right"/>
    </xf>
    <xf numFmtId="174" fontId="18" fillId="0" borderId="33" xfId="0" applyNumberFormat="1" applyFont="1" applyBorder="1" applyAlignment="1">
      <alignment horizontal="right" vertical="center"/>
    </xf>
    <xf numFmtId="174" fontId="10" fillId="7" borderId="2" xfId="0" applyNumberFormat="1" applyFont="1" applyFill="1" applyBorder="1" applyAlignment="1">
      <alignment horizontal="right" vertical="center"/>
    </xf>
    <xf numFmtId="174" fontId="2" fillId="8" borderId="2" xfId="0" applyNumberFormat="1" applyFont="1" applyFill="1" applyBorder="1" applyAlignment="1">
      <alignment horizontal="right" vertical="center"/>
    </xf>
    <xf numFmtId="174" fontId="18" fillId="0" borderId="11" xfId="0" applyNumberFormat="1" applyFont="1" applyBorder="1" applyAlignment="1">
      <alignment horizontal="right"/>
    </xf>
    <xf numFmtId="174" fontId="18" fillId="0" borderId="31" xfId="0" applyNumberFormat="1" applyFont="1" applyBorder="1" applyAlignment="1">
      <alignment horizontal="right"/>
    </xf>
    <xf numFmtId="174" fontId="18" fillId="7" borderId="2" xfId="0" applyNumberFormat="1" applyFont="1" applyFill="1" applyBorder="1" applyAlignment="1">
      <alignment horizontal="right"/>
    </xf>
    <xf numFmtId="174" fontId="18" fillId="0" borderId="26" xfId="0" applyNumberFormat="1" applyFont="1" applyBorder="1" applyAlignment="1">
      <alignment horizontal="right" wrapText="1"/>
    </xf>
    <xf numFmtId="174" fontId="18" fillId="0" borderId="30" xfId="0" applyNumberFormat="1" applyFont="1" applyBorder="1" applyAlignment="1">
      <alignment horizontal="right" wrapText="1"/>
    </xf>
    <xf numFmtId="174" fontId="23" fillId="2" borderId="11" xfId="0" applyNumberFormat="1" applyFont="1" applyFill="1" applyBorder="1" applyAlignment="1">
      <alignment horizontal="right" vertical="center" wrapText="1"/>
    </xf>
    <xf numFmtId="174" fontId="9" fillId="2" borderId="11" xfId="0" applyNumberFormat="1" applyFont="1" applyFill="1" applyBorder="1" applyAlignment="1">
      <alignment horizontal="left" vertical="center" wrapText="1"/>
    </xf>
    <xf numFmtId="174" fontId="10" fillId="7" borderId="2" xfId="0" applyNumberFormat="1" applyFont="1" applyFill="1" applyBorder="1" applyAlignment="1">
      <alignment horizontal="right" vertical="center" wrapText="1"/>
    </xf>
    <xf numFmtId="174" fontId="18" fillId="0" borderId="11" xfId="0" applyNumberFormat="1" applyFont="1" applyBorder="1" applyAlignment="1">
      <alignment horizontal="right" vertical="center" wrapText="1"/>
    </xf>
    <xf numFmtId="174" fontId="18" fillId="0" borderId="4" xfId="0" applyNumberFormat="1" applyFont="1" applyBorder="1" applyAlignment="1">
      <alignment/>
    </xf>
    <xf numFmtId="174" fontId="18" fillId="0" borderId="4" xfId="0" applyNumberFormat="1" applyFont="1" applyBorder="1" applyAlignment="1">
      <alignment horizontal="right" wrapText="1"/>
    </xf>
    <xf numFmtId="174" fontId="18" fillId="0" borderId="35" xfId="0" applyNumberFormat="1" applyFont="1" applyBorder="1" applyAlignment="1">
      <alignment/>
    </xf>
    <xf numFmtId="174" fontId="23" fillId="0" borderId="3" xfId="0" applyNumberFormat="1" applyFont="1" applyBorder="1" applyAlignment="1">
      <alignment horizontal="right" vertical="center" wrapText="1"/>
    </xf>
    <xf numFmtId="174" fontId="2" fillId="9" borderId="2" xfId="0" applyNumberFormat="1" applyFont="1" applyFill="1" applyBorder="1" applyAlignment="1">
      <alignment/>
    </xf>
    <xf numFmtId="174" fontId="19" fillId="4" borderId="2" xfId="0" applyNumberFormat="1" applyFont="1" applyFill="1" applyBorder="1" applyAlignment="1">
      <alignment/>
    </xf>
    <xf numFmtId="174" fontId="6" fillId="0" borderId="0" xfId="0" applyNumberFormat="1" applyFont="1" applyAlignment="1">
      <alignment horizontal="right" wrapText="1"/>
    </xf>
    <xf numFmtId="174" fontId="3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Border="1" applyAlignment="1">
      <alignment horizontal="right" wrapText="1"/>
    </xf>
    <xf numFmtId="174" fontId="0" fillId="0" borderId="0" xfId="0" applyNumberFormat="1" applyBorder="1" applyAlignment="1">
      <alignment vertical="center" wrapText="1"/>
    </xf>
    <xf numFmtId="174" fontId="0" fillId="0" borderId="0" xfId="0" applyNumberFormat="1" applyBorder="1" applyAlignment="1">
      <alignment horizontal="right" wrapText="1"/>
    </xf>
    <xf numFmtId="174" fontId="0" fillId="0" borderId="0" xfId="0" applyNumberFormat="1" applyAlignment="1">
      <alignment vertical="center" wrapText="1"/>
    </xf>
    <xf numFmtId="174" fontId="0" fillId="0" borderId="0" xfId="0" applyNumberFormat="1" applyAlignment="1">
      <alignment horizontal="right" wrapText="1"/>
    </xf>
    <xf numFmtId="174" fontId="1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0" fillId="0" borderId="36" xfId="0" applyNumberFormat="1" applyBorder="1" applyAlignment="1">
      <alignment/>
    </xf>
    <xf numFmtId="0" fontId="18" fillId="0" borderId="3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10" fillId="7" borderId="9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9" fillId="4" borderId="44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9" fontId="21" fillId="0" borderId="37" xfId="19" applyFont="1" applyBorder="1" applyAlignment="1">
      <alignment horizontal="left" vertical="center" wrapText="1"/>
    </xf>
    <xf numFmtId="9" fontId="21" fillId="0" borderId="38" xfId="19" applyFont="1" applyBorder="1" applyAlignment="1">
      <alignment horizontal="left" vertical="center" wrapText="1"/>
    </xf>
    <xf numFmtId="9" fontId="21" fillId="0" borderId="39" xfId="19" applyFont="1" applyBorder="1" applyAlignment="1">
      <alignment horizontal="left" vertical="center" wrapText="1"/>
    </xf>
    <xf numFmtId="0" fontId="10" fillId="7" borderId="46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174" fontId="10" fillId="0" borderId="0" xfId="0" applyNumberFormat="1" applyFont="1" applyBorder="1" applyAlignment="1">
      <alignment horizontal="center" wrapText="1"/>
    </xf>
    <xf numFmtId="174" fontId="10" fillId="0" borderId="0" xfId="0" applyNumberFormat="1" applyFont="1" applyBorder="1" applyAlignment="1">
      <alignment horizontal="left" wrapText="1"/>
    </xf>
    <xf numFmtId="0" fontId="19" fillId="4" borderId="1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1" fillId="0" borderId="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49" fontId="10" fillId="7" borderId="46" xfId="0" applyNumberFormat="1" applyFont="1" applyFill="1" applyBorder="1" applyAlignment="1">
      <alignment horizontal="center" vertical="center"/>
    </xf>
    <xf numFmtId="49" fontId="10" fillId="7" borderId="23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0" fillId="7" borderId="16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left" vertical="center"/>
    </xf>
    <xf numFmtId="0" fontId="9" fillId="4" borderId="45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7" borderId="8" xfId="0" applyNumberFormat="1" applyFont="1" applyFill="1" applyBorder="1" applyAlignment="1">
      <alignment horizontal="center" vertical="center"/>
    </xf>
    <xf numFmtId="49" fontId="10" fillId="7" borderId="9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left" vertical="center"/>
    </xf>
    <xf numFmtId="0" fontId="20" fillId="4" borderId="45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left" vertical="center"/>
    </xf>
    <xf numFmtId="0" fontId="21" fillId="0" borderId="37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9" fillId="2" borderId="50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2" fillId="4" borderId="47" xfId="0" applyFont="1" applyFill="1" applyBorder="1" applyAlignment="1">
      <alignment vertical="center" wrapText="1"/>
    </xf>
    <xf numFmtId="0" fontId="22" fillId="4" borderId="28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vertical="center" wrapText="1"/>
    </xf>
    <xf numFmtId="0" fontId="5" fillId="5" borderId="14" xfId="0" applyNumberFormat="1" applyFont="1" applyFill="1" applyBorder="1" applyAlignment="1">
      <alignment horizontal="center" vertical="center"/>
    </xf>
    <xf numFmtId="173" fontId="23" fillId="0" borderId="43" xfId="0" applyNumberFormat="1" applyFont="1" applyBorder="1" applyAlignment="1">
      <alignment horizontal="center" vertical="center" wrapText="1"/>
    </xf>
    <xf numFmtId="174" fontId="10" fillId="7" borderId="34" xfId="0" applyNumberFormat="1" applyFont="1" applyFill="1" applyBorder="1" applyAlignment="1">
      <alignment/>
    </xf>
    <xf numFmtId="173" fontId="23" fillId="0" borderId="52" xfId="0" applyNumberFormat="1" applyFont="1" applyBorder="1" applyAlignment="1">
      <alignment horizontal="center" vertical="center" wrapText="1"/>
    </xf>
    <xf numFmtId="174" fontId="18" fillId="2" borderId="13" xfId="0" applyNumberFormat="1" applyFont="1" applyFill="1" applyBorder="1" applyAlignment="1">
      <alignment/>
    </xf>
    <xf numFmtId="173" fontId="23" fillId="0" borderId="27" xfId="0" applyNumberFormat="1" applyFont="1" applyBorder="1" applyAlignment="1">
      <alignment horizontal="center" vertical="center" wrapText="1"/>
    </xf>
    <xf numFmtId="173" fontId="23" fillId="2" borderId="12" xfId="0" applyNumberFormat="1" applyFont="1" applyFill="1" applyBorder="1" applyAlignment="1">
      <alignment horizontal="center" vertical="center" wrapText="1"/>
    </xf>
    <xf numFmtId="173" fontId="10" fillId="7" borderId="7" xfId="19" applyNumberFormat="1" applyFont="1" applyFill="1" applyBorder="1" applyAlignment="1">
      <alignment horizontal="center" vertical="center" wrapText="1"/>
    </xf>
    <xf numFmtId="0" fontId="5" fillId="5" borderId="19" xfId="0" applyNumberFormat="1" applyFont="1" applyFill="1" applyBorder="1" applyAlignment="1">
      <alignment horizontal="center" vertical="center"/>
    </xf>
    <xf numFmtId="174" fontId="18" fillId="0" borderId="3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0"/>
  <sheetViews>
    <sheetView tabSelected="1" zoomScaleSheetLayoutView="100" workbookViewId="0" topLeftCell="A1">
      <selection activeCell="I623" sqref="I623"/>
    </sheetView>
  </sheetViews>
  <sheetFormatPr defaultColWidth="9.00390625" defaultRowHeight="12.75"/>
  <cols>
    <col min="1" max="1" width="7.625" style="0" customWidth="1"/>
    <col min="2" max="2" width="7.375" style="0" customWidth="1"/>
    <col min="3" max="3" width="25.375" style="0" customWidth="1"/>
    <col min="4" max="4" width="15.75390625" style="221" hidden="1" customWidth="1"/>
    <col min="5" max="5" width="13.25390625" style="222" hidden="1" customWidth="1"/>
    <col min="6" max="6" width="13.125" style="222" hidden="1" customWidth="1"/>
    <col min="7" max="7" width="17.75390625" style="223" customWidth="1"/>
    <col min="8" max="8" width="17.75390625" style="87" customWidth="1"/>
  </cols>
  <sheetData>
    <row r="1" spans="1:8" ht="23.25" customHeight="1">
      <c r="A1" s="6"/>
      <c r="B1" s="6"/>
      <c r="C1" s="280" t="s">
        <v>321</v>
      </c>
      <c r="D1" s="280"/>
      <c r="E1" s="280"/>
      <c r="F1" s="280"/>
      <c r="G1" s="281"/>
      <c r="H1" s="82"/>
    </row>
    <row r="2" spans="1:8" ht="9.75" customHeight="1">
      <c r="A2" s="6"/>
      <c r="B2" s="6"/>
      <c r="C2" s="281"/>
      <c r="D2" s="281"/>
      <c r="E2" s="281"/>
      <c r="F2" s="281"/>
      <c r="G2" s="281"/>
      <c r="H2" s="82"/>
    </row>
    <row r="3" spans="1:8" ht="42" customHeight="1" thickBot="1">
      <c r="A3" s="266" t="s">
        <v>266</v>
      </c>
      <c r="B3" s="266"/>
      <c r="C3" s="266"/>
      <c r="D3" s="266"/>
      <c r="E3" s="266"/>
      <c r="F3" s="266"/>
      <c r="G3" s="266"/>
      <c r="H3" s="266"/>
    </row>
    <row r="4" spans="1:8" ht="46.5" thickBot="1" thickTop="1">
      <c r="A4" s="7" t="s">
        <v>0</v>
      </c>
      <c r="B4" s="8" t="s">
        <v>16</v>
      </c>
      <c r="C4" s="9" t="s">
        <v>1</v>
      </c>
      <c r="D4" s="124" t="s">
        <v>265</v>
      </c>
      <c r="E4" s="125" t="s">
        <v>178</v>
      </c>
      <c r="F4" s="125" t="s">
        <v>179</v>
      </c>
      <c r="G4" s="126" t="s">
        <v>264</v>
      </c>
      <c r="H4" s="83" t="s">
        <v>198</v>
      </c>
    </row>
    <row r="5" spans="1:8" ht="14.25" thickBot="1" thickTop="1">
      <c r="A5" s="43">
        <v>1</v>
      </c>
      <c r="B5" s="44">
        <v>2</v>
      </c>
      <c r="C5" s="44">
        <v>3</v>
      </c>
      <c r="D5" s="127">
        <v>4</v>
      </c>
      <c r="E5" s="128">
        <v>5</v>
      </c>
      <c r="F5" s="128">
        <v>6</v>
      </c>
      <c r="G5" s="309">
        <v>5</v>
      </c>
      <c r="H5" s="317">
        <v>6</v>
      </c>
    </row>
    <row r="6" spans="1:8" ht="19.5" customHeight="1" thickBot="1" thickTop="1">
      <c r="A6" s="285" t="s">
        <v>129</v>
      </c>
      <c r="B6" s="286"/>
      <c r="C6" s="286"/>
      <c r="D6" s="286"/>
      <c r="E6" s="286"/>
      <c r="F6" s="286"/>
      <c r="G6" s="286"/>
      <c r="H6" s="287"/>
    </row>
    <row r="7" spans="1:8" ht="14.25" customHeight="1" thickTop="1">
      <c r="A7" s="282" t="s">
        <v>61</v>
      </c>
      <c r="B7" s="235" t="s">
        <v>2</v>
      </c>
      <c r="C7" s="236"/>
      <c r="D7" s="236"/>
      <c r="E7" s="236"/>
      <c r="F7" s="236"/>
      <c r="G7" s="236"/>
      <c r="H7" s="237"/>
    </row>
    <row r="8" spans="1:8" ht="14.25" thickBot="1">
      <c r="A8" s="284"/>
      <c r="B8" s="68">
        <v>4300</v>
      </c>
      <c r="C8" s="69" t="s">
        <v>60</v>
      </c>
      <c r="D8" s="129">
        <v>30000</v>
      </c>
      <c r="E8" s="130"/>
      <c r="F8" s="130"/>
      <c r="G8" s="131">
        <v>30000</v>
      </c>
      <c r="H8" s="98">
        <f>G8/G623</f>
        <v>0.0008469073526548471</v>
      </c>
    </row>
    <row r="9" spans="1:9" ht="15" thickBot="1" thickTop="1">
      <c r="A9" s="228" t="s">
        <v>17</v>
      </c>
      <c r="B9" s="229"/>
      <c r="C9" s="229"/>
      <c r="D9" s="132">
        <f>SUM(D8)</f>
        <v>30000</v>
      </c>
      <c r="E9" s="133">
        <f>SUM(E8)</f>
        <v>0</v>
      </c>
      <c r="F9" s="133">
        <f>SUM(F8)</f>
        <v>0</v>
      </c>
      <c r="G9" s="134">
        <f>SUM(G8)</f>
        <v>30000</v>
      </c>
      <c r="H9" s="91">
        <f>G9/G623</f>
        <v>0.0008469073526548471</v>
      </c>
      <c r="I9" t="s">
        <v>236</v>
      </c>
    </row>
    <row r="10" spans="1:8" ht="16.5" thickBot="1" thickTop="1">
      <c r="A10" s="230" t="s">
        <v>18</v>
      </c>
      <c r="B10" s="231"/>
      <c r="C10" s="231"/>
      <c r="D10" s="135">
        <f>D9</f>
        <v>30000</v>
      </c>
      <c r="E10" s="135">
        <f>E9</f>
        <v>0</v>
      </c>
      <c r="F10" s="135">
        <f>F9</f>
        <v>0</v>
      </c>
      <c r="G10" s="135">
        <f>G9</f>
        <v>30000</v>
      </c>
      <c r="H10" s="92">
        <f>G10/G623</f>
        <v>0.0008469073526548471</v>
      </c>
    </row>
    <row r="11" spans="1:8" ht="18.75" customHeight="1" thickBot="1" thickTop="1">
      <c r="A11" s="244" t="s">
        <v>19</v>
      </c>
      <c r="B11" s="245"/>
      <c r="C11" s="245"/>
      <c r="D11" s="245"/>
      <c r="E11" s="245"/>
      <c r="F11" s="245"/>
      <c r="G11" s="245"/>
      <c r="H11" s="246"/>
    </row>
    <row r="12" spans="1:8" ht="14.25" customHeight="1" thickTop="1">
      <c r="A12" s="282" t="s">
        <v>47</v>
      </c>
      <c r="B12" s="235" t="s">
        <v>135</v>
      </c>
      <c r="C12" s="236"/>
      <c r="D12" s="236"/>
      <c r="E12" s="236"/>
      <c r="F12" s="236"/>
      <c r="G12" s="236"/>
      <c r="H12" s="237"/>
    </row>
    <row r="13" spans="1:8" ht="24.75" customHeight="1" thickBot="1">
      <c r="A13" s="284"/>
      <c r="B13" s="45">
        <v>3030</v>
      </c>
      <c r="C13" s="46" t="s">
        <v>74</v>
      </c>
      <c r="D13" s="136">
        <v>190266</v>
      </c>
      <c r="E13" s="137"/>
      <c r="F13" s="137"/>
      <c r="G13" s="138">
        <v>187000</v>
      </c>
      <c r="H13" s="95">
        <f>G13/G623</f>
        <v>0.0052790558315485465</v>
      </c>
    </row>
    <row r="14" spans="1:9" ht="15" thickBot="1" thickTop="1">
      <c r="A14" s="228" t="s">
        <v>49</v>
      </c>
      <c r="B14" s="229"/>
      <c r="C14" s="229"/>
      <c r="D14" s="139">
        <f>SUM(D13:D13)</f>
        <v>190266</v>
      </c>
      <c r="E14" s="133">
        <f>SUM(E13:E13)</f>
        <v>0</v>
      </c>
      <c r="F14" s="133">
        <f>SUM(F13:F13)</f>
        <v>0</v>
      </c>
      <c r="G14" s="140">
        <f>SUM(G13:G13)</f>
        <v>187000</v>
      </c>
      <c r="H14" s="91">
        <f>G14/G623</f>
        <v>0.0052790558315485465</v>
      </c>
      <c r="I14" t="s">
        <v>236</v>
      </c>
    </row>
    <row r="15" spans="1:9" s="5" customFormat="1" ht="14.25" customHeight="1" thickTop="1">
      <c r="A15" s="282" t="s">
        <v>155</v>
      </c>
      <c r="B15" s="235" t="s">
        <v>3</v>
      </c>
      <c r="C15" s="236"/>
      <c r="D15" s="236"/>
      <c r="E15" s="236"/>
      <c r="F15" s="236"/>
      <c r="G15" s="236"/>
      <c r="H15" s="237"/>
      <c r="I15"/>
    </row>
    <row r="16" spans="1:9" s="5" customFormat="1" ht="14.25" customHeight="1">
      <c r="A16" s="282"/>
      <c r="B16" s="10">
        <v>4210</v>
      </c>
      <c r="C16" s="11" t="s">
        <v>64</v>
      </c>
      <c r="D16" s="141">
        <v>0</v>
      </c>
      <c r="E16" s="142"/>
      <c r="F16" s="142"/>
      <c r="G16" s="143">
        <v>500</v>
      </c>
      <c r="H16" s="101">
        <f>G16/G623</f>
        <v>1.411512254424745E-05</v>
      </c>
      <c r="I16"/>
    </row>
    <row r="17" spans="1:9" s="5" customFormat="1" ht="14.25" customHeight="1" thickBot="1">
      <c r="A17" s="283"/>
      <c r="B17" s="10">
        <v>4300</v>
      </c>
      <c r="C17" s="11" t="s">
        <v>79</v>
      </c>
      <c r="D17" s="141">
        <v>23213</v>
      </c>
      <c r="E17" s="142"/>
      <c r="F17" s="142"/>
      <c r="G17" s="143">
        <v>23213</v>
      </c>
      <c r="H17" s="123">
        <f>G17/G623</f>
        <v>0.0006553086792392322</v>
      </c>
      <c r="I17"/>
    </row>
    <row r="18" spans="1:9" s="5" customFormat="1" ht="14.25" customHeight="1" thickBot="1" thickTop="1">
      <c r="A18" s="228" t="s">
        <v>20</v>
      </c>
      <c r="B18" s="229"/>
      <c r="C18" s="229"/>
      <c r="D18" s="144">
        <f>SUM(D16:D17)</f>
        <v>23213</v>
      </c>
      <c r="E18" s="144">
        <f>SUM(E16:E17)</f>
        <v>0</v>
      </c>
      <c r="F18" s="144">
        <f>SUM(F16:F17)</f>
        <v>0</v>
      </c>
      <c r="G18" s="144">
        <f>SUM(G16:G17)</f>
        <v>23713</v>
      </c>
      <c r="H18" s="100">
        <f>G18/G623</f>
        <v>0.0006694238017834796</v>
      </c>
      <c r="I18" t="s">
        <v>236</v>
      </c>
    </row>
    <row r="19" spans="1:9" s="5" customFormat="1" ht="16.5" thickBot="1" thickTop="1">
      <c r="A19" s="230" t="s">
        <v>48</v>
      </c>
      <c r="B19" s="231"/>
      <c r="C19" s="231"/>
      <c r="D19" s="135">
        <f>SUM(D14+D18)</f>
        <v>213479</v>
      </c>
      <c r="E19" s="145">
        <f>SUM(E14+E18)</f>
        <v>0</v>
      </c>
      <c r="F19" s="145">
        <f>SUM(F14+F18)</f>
        <v>0</v>
      </c>
      <c r="G19" s="146">
        <f>SUM(G14+G18)</f>
        <v>210713</v>
      </c>
      <c r="H19" s="92">
        <f>G19/G623</f>
        <v>0.005948479633332026</v>
      </c>
      <c r="I19"/>
    </row>
    <row r="20" spans="1:9" s="5" customFormat="1" ht="18.75" customHeight="1" thickBot="1" thickTop="1">
      <c r="A20" s="244" t="s">
        <v>71</v>
      </c>
      <c r="B20" s="245"/>
      <c r="C20" s="245"/>
      <c r="D20" s="245"/>
      <c r="E20" s="245"/>
      <c r="F20" s="245"/>
      <c r="G20" s="245"/>
      <c r="H20" s="246"/>
      <c r="I20"/>
    </row>
    <row r="21" spans="1:9" s="5" customFormat="1" ht="14.25" customHeight="1" thickTop="1">
      <c r="A21" s="282" t="s">
        <v>72</v>
      </c>
      <c r="B21" s="267" t="s">
        <v>73</v>
      </c>
      <c r="C21" s="268"/>
      <c r="D21" s="268"/>
      <c r="E21" s="268"/>
      <c r="F21" s="268"/>
      <c r="G21" s="268"/>
      <c r="H21" s="269"/>
      <c r="I21"/>
    </row>
    <row r="22" spans="1:9" s="5" customFormat="1" ht="24">
      <c r="A22" s="283"/>
      <c r="B22" s="13">
        <v>3020</v>
      </c>
      <c r="C22" s="11" t="s">
        <v>200</v>
      </c>
      <c r="D22" s="147">
        <v>2052</v>
      </c>
      <c r="E22" s="142"/>
      <c r="F22" s="142"/>
      <c r="G22" s="148">
        <v>2500</v>
      </c>
      <c r="H22" s="90">
        <f>G22/$G$623</f>
        <v>7.057561272123725E-05</v>
      </c>
      <c r="I22"/>
    </row>
    <row r="23" spans="1:9" s="5" customFormat="1" ht="24">
      <c r="A23" s="283"/>
      <c r="B23" s="10">
        <v>4010</v>
      </c>
      <c r="C23" s="11" t="s">
        <v>62</v>
      </c>
      <c r="D23" s="149">
        <v>407800</v>
      </c>
      <c r="E23" s="142"/>
      <c r="F23" s="142"/>
      <c r="G23" s="148">
        <v>441400</v>
      </c>
      <c r="H23" s="90">
        <f aca="true" t="shared" si="0" ref="H23:H47">G23/$G$623</f>
        <v>0.01246083018206165</v>
      </c>
      <c r="I23"/>
    </row>
    <row r="24" spans="1:9" s="5" customFormat="1" ht="12.75">
      <c r="A24" s="283"/>
      <c r="B24" s="10">
        <v>4040</v>
      </c>
      <c r="C24" s="11" t="s">
        <v>82</v>
      </c>
      <c r="D24" s="149">
        <v>31304</v>
      </c>
      <c r="E24" s="142"/>
      <c r="F24" s="142"/>
      <c r="G24" s="148">
        <v>33300</v>
      </c>
      <c r="H24" s="90">
        <f t="shared" si="0"/>
        <v>0.0009400671614468802</v>
      </c>
      <c r="I24"/>
    </row>
    <row r="25" spans="1:9" s="5" customFormat="1" ht="14.25" customHeight="1">
      <c r="A25" s="283"/>
      <c r="B25" s="10">
        <v>4110</v>
      </c>
      <c r="C25" s="11" t="s">
        <v>81</v>
      </c>
      <c r="D25" s="149">
        <v>80500</v>
      </c>
      <c r="E25" s="142"/>
      <c r="F25" s="142"/>
      <c r="G25" s="148">
        <v>79700</v>
      </c>
      <c r="H25" s="90">
        <f t="shared" si="0"/>
        <v>0.002249950533553044</v>
      </c>
      <c r="I25"/>
    </row>
    <row r="26" spans="1:9" s="5" customFormat="1" ht="12.75">
      <c r="A26" s="283"/>
      <c r="B26" s="10">
        <v>4120</v>
      </c>
      <c r="C26" s="11" t="s">
        <v>80</v>
      </c>
      <c r="D26" s="149">
        <v>11000</v>
      </c>
      <c r="E26" s="142"/>
      <c r="F26" s="142"/>
      <c r="G26" s="148">
        <v>11900</v>
      </c>
      <c r="H26" s="90">
        <f t="shared" si="0"/>
        <v>0.00033593991655308934</v>
      </c>
      <c r="I26"/>
    </row>
    <row r="27" spans="1:9" s="5" customFormat="1" ht="12.75">
      <c r="A27" s="283"/>
      <c r="B27" s="10">
        <v>4190</v>
      </c>
      <c r="C27" s="11" t="s">
        <v>197</v>
      </c>
      <c r="D27" s="149">
        <v>32300</v>
      </c>
      <c r="E27" s="142"/>
      <c r="F27" s="142"/>
      <c r="G27" s="148">
        <v>34600</v>
      </c>
      <c r="H27" s="90">
        <f t="shared" si="0"/>
        <v>0.0009767664800619236</v>
      </c>
      <c r="I27"/>
    </row>
    <row r="28" spans="1:9" s="5" customFormat="1" ht="15" customHeight="1">
      <c r="A28" s="283"/>
      <c r="B28" s="10">
        <v>4210</v>
      </c>
      <c r="C28" s="11" t="s">
        <v>64</v>
      </c>
      <c r="D28" s="149">
        <v>215243</v>
      </c>
      <c r="E28" s="142"/>
      <c r="F28" s="142"/>
      <c r="G28" s="148">
        <v>330700</v>
      </c>
      <c r="H28" s="90">
        <f t="shared" si="0"/>
        <v>0.009335742050765265</v>
      </c>
      <c r="I28"/>
    </row>
    <row r="29" spans="1:9" s="5" customFormat="1" ht="12.75">
      <c r="A29" s="283"/>
      <c r="B29" s="10">
        <v>4260</v>
      </c>
      <c r="C29" s="11" t="s">
        <v>126</v>
      </c>
      <c r="D29" s="149">
        <v>27000</v>
      </c>
      <c r="E29" s="142"/>
      <c r="F29" s="142"/>
      <c r="G29" s="148">
        <v>37000</v>
      </c>
      <c r="H29" s="90">
        <f t="shared" si="0"/>
        <v>0.0010445190682743114</v>
      </c>
      <c r="I29"/>
    </row>
    <row r="30" spans="1:9" s="5" customFormat="1" ht="12.75">
      <c r="A30" s="283"/>
      <c r="B30" s="10">
        <v>4270</v>
      </c>
      <c r="C30" s="11" t="s">
        <v>127</v>
      </c>
      <c r="D30" s="149">
        <v>112429</v>
      </c>
      <c r="E30" s="142"/>
      <c r="F30" s="142"/>
      <c r="G30" s="148">
        <v>431000</v>
      </c>
      <c r="H30" s="90">
        <f t="shared" si="0"/>
        <v>0.012167235633141303</v>
      </c>
      <c r="I30"/>
    </row>
    <row r="31" spans="1:9" s="5" customFormat="1" ht="12.75">
      <c r="A31" s="283"/>
      <c r="B31" s="10">
        <v>4280</v>
      </c>
      <c r="C31" s="11" t="s">
        <v>99</v>
      </c>
      <c r="D31" s="149">
        <v>1000</v>
      </c>
      <c r="E31" s="142"/>
      <c r="F31" s="142"/>
      <c r="G31" s="148">
        <v>1000</v>
      </c>
      <c r="H31" s="90">
        <f t="shared" si="0"/>
        <v>2.82302450884949E-05</v>
      </c>
      <c r="I31"/>
    </row>
    <row r="32" spans="1:9" s="5" customFormat="1" ht="12.75">
      <c r="A32" s="283"/>
      <c r="B32" s="10">
        <v>4300</v>
      </c>
      <c r="C32" s="11" t="s">
        <v>79</v>
      </c>
      <c r="D32" s="149">
        <v>217697</v>
      </c>
      <c r="E32" s="142"/>
      <c r="F32" s="142"/>
      <c r="G32" s="148">
        <v>286300</v>
      </c>
      <c r="H32" s="90">
        <f t="shared" si="0"/>
        <v>0.00808231916883609</v>
      </c>
      <c r="I32"/>
    </row>
    <row r="33" spans="1:9" s="5" customFormat="1" ht="25.5" customHeight="1">
      <c r="A33" s="283"/>
      <c r="B33" s="10">
        <v>4350</v>
      </c>
      <c r="C33" s="11" t="s">
        <v>255</v>
      </c>
      <c r="D33" s="149">
        <v>3500</v>
      </c>
      <c r="E33" s="142"/>
      <c r="F33" s="142"/>
      <c r="G33" s="148">
        <v>3600</v>
      </c>
      <c r="H33" s="90">
        <f t="shared" si="0"/>
        <v>0.00010162888231858165</v>
      </c>
      <c r="I33"/>
    </row>
    <row r="34" spans="1:9" s="5" customFormat="1" ht="36">
      <c r="A34" s="283"/>
      <c r="B34" s="10">
        <v>4360</v>
      </c>
      <c r="C34" s="11" t="s">
        <v>291</v>
      </c>
      <c r="D34" s="149">
        <v>10744</v>
      </c>
      <c r="E34" s="142"/>
      <c r="F34" s="142"/>
      <c r="G34" s="148">
        <v>10000</v>
      </c>
      <c r="H34" s="90">
        <f t="shared" si="0"/>
        <v>0.000282302450884949</v>
      </c>
      <c r="I34"/>
    </row>
    <row r="35" spans="1:9" s="5" customFormat="1" ht="36">
      <c r="A35" s="283"/>
      <c r="B35" s="10">
        <v>4370</v>
      </c>
      <c r="C35" s="11" t="s">
        <v>292</v>
      </c>
      <c r="D35" s="149">
        <v>6000</v>
      </c>
      <c r="E35" s="142"/>
      <c r="F35" s="142"/>
      <c r="G35" s="148">
        <v>6000</v>
      </c>
      <c r="H35" s="90">
        <f t="shared" si="0"/>
        <v>0.0001693814705309694</v>
      </c>
      <c r="I35"/>
    </row>
    <row r="36" spans="1:9" s="5" customFormat="1" ht="12.75">
      <c r="A36" s="283"/>
      <c r="B36" s="10">
        <v>4410</v>
      </c>
      <c r="C36" s="11" t="s">
        <v>121</v>
      </c>
      <c r="D36" s="149">
        <v>200</v>
      </c>
      <c r="E36" s="142"/>
      <c r="F36" s="142"/>
      <c r="G36" s="148">
        <v>2000</v>
      </c>
      <c r="H36" s="90">
        <f t="shared" si="0"/>
        <v>5.64604901769898E-05</v>
      </c>
      <c r="I36"/>
    </row>
    <row r="37" spans="1:9" s="5" customFormat="1" ht="12.75">
      <c r="A37" s="283"/>
      <c r="B37" s="10">
        <v>4430</v>
      </c>
      <c r="C37" s="11" t="s">
        <v>78</v>
      </c>
      <c r="D37" s="149">
        <v>8163</v>
      </c>
      <c r="E37" s="142"/>
      <c r="F37" s="142"/>
      <c r="G37" s="148">
        <v>12000</v>
      </c>
      <c r="H37" s="90">
        <f t="shared" si="0"/>
        <v>0.0003387629410619388</v>
      </c>
      <c r="I37"/>
    </row>
    <row r="38" spans="1:11" s="5" customFormat="1" ht="12.75">
      <c r="A38" s="283"/>
      <c r="B38" s="10">
        <v>4440</v>
      </c>
      <c r="C38" s="11" t="s">
        <v>69</v>
      </c>
      <c r="D38" s="149">
        <v>11399</v>
      </c>
      <c r="E38" s="142"/>
      <c r="F38" s="142"/>
      <c r="G38" s="148">
        <v>12000</v>
      </c>
      <c r="H38" s="90">
        <f t="shared" si="0"/>
        <v>0.0003387629410619388</v>
      </c>
      <c r="I38"/>
      <c r="K38" s="89"/>
    </row>
    <row r="39" spans="1:9" s="5" customFormat="1" ht="12.75">
      <c r="A39" s="283"/>
      <c r="B39" s="10">
        <v>4480</v>
      </c>
      <c r="C39" s="11" t="s">
        <v>70</v>
      </c>
      <c r="D39" s="149">
        <v>4928</v>
      </c>
      <c r="E39" s="142"/>
      <c r="F39" s="142"/>
      <c r="G39" s="148">
        <v>5300</v>
      </c>
      <c r="H39" s="90">
        <f t="shared" si="0"/>
        <v>0.00014962029896902298</v>
      </c>
      <c r="I39"/>
    </row>
    <row r="40" spans="1:9" s="5" customFormat="1" ht="24">
      <c r="A40" s="283"/>
      <c r="B40" s="10">
        <v>4500</v>
      </c>
      <c r="C40" s="11" t="s">
        <v>293</v>
      </c>
      <c r="D40" s="149">
        <v>4625</v>
      </c>
      <c r="E40" s="142"/>
      <c r="F40" s="142"/>
      <c r="G40" s="148">
        <v>4700</v>
      </c>
      <c r="H40" s="90">
        <f t="shared" si="0"/>
        <v>0.00013268215191592603</v>
      </c>
      <c r="I40"/>
    </row>
    <row r="41" spans="1:9" s="5" customFormat="1" ht="12.75">
      <c r="A41" s="283"/>
      <c r="B41" s="10">
        <v>4520</v>
      </c>
      <c r="C41" s="11" t="s">
        <v>154</v>
      </c>
      <c r="D41" s="149">
        <v>100</v>
      </c>
      <c r="E41" s="142"/>
      <c r="F41" s="142"/>
      <c r="G41" s="148">
        <v>100</v>
      </c>
      <c r="H41" s="90">
        <f t="shared" si="0"/>
        <v>2.82302450884949E-06</v>
      </c>
      <c r="I41"/>
    </row>
    <row r="42" spans="1:9" s="5" customFormat="1" ht="36">
      <c r="A42" s="284"/>
      <c r="B42" s="45">
        <v>4700</v>
      </c>
      <c r="C42" s="11" t="s">
        <v>249</v>
      </c>
      <c r="D42" s="150">
        <v>2100</v>
      </c>
      <c r="E42" s="137"/>
      <c r="F42" s="137"/>
      <c r="G42" s="151">
        <v>2100</v>
      </c>
      <c r="H42" s="90">
        <f t="shared" si="0"/>
        <v>5.928351468583929E-05</v>
      </c>
      <c r="I42"/>
    </row>
    <row r="43" spans="1:9" s="5" customFormat="1" ht="36">
      <c r="A43" s="284"/>
      <c r="B43" s="45">
        <v>4740</v>
      </c>
      <c r="C43" s="11" t="s">
        <v>246</v>
      </c>
      <c r="D43" s="150">
        <v>1500</v>
      </c>
      <c r="E43" s="137"/>
      <c r="F43" s="137"/>
      <c r="G43" s="151">
        <v>1500</v>
      </c>
      <c r="H43" s="90">
        <f t="shared" si="0"/>
        <v>4.234536763274235E-05</v>
      </c>
      <c r="I43"/>
    </row>
    <row r="44" spans="1:9" s="5" customFormat="1" ht="36">
      <c r="A44" s="284"/>
      <c r="B44" s="45">
        <v>4750</v>
      </c>
      <c r="C44" s="80" t="s">
        <v>310</v>
      </c>
      <c r="D44" s="150">
        <v>5989</v>
      </c>
      <c r="E44" s="137"/>
      <c r="F44" s="137"/>
      <c r="G44" s="151">
        <v>6500</v>
      </c>
      <c r="H44" s="90">
        <f t="shared" si="0"/>
        <v>0.00018349659307521687</v>
      </c>
      <c r="I44"/>
    </row>
    <row r="45" spans="1:9" s="5" customFormat="1" ht="24">
      <c r="A45" s="284"/>
      <c r="B45" s="45">
        <v>6050</v>
      </c>
      <c r="C45" s="11" t="s">
        <v>250</v>
      </c>
      <c r="D45" s="150">
        <v>1500000</v>
      </c>
      <c r="E45" s="137"/>
      <c r="F45" s="137"/>
      <c r="G45" s="151">
        <v>0</v>
      </c>
      <c r="H45" s="90">
        <f t="shared" si="0"/>
        <v>0</v>
      </c>
      <c r="I45"/>
    </row>
    <row r="46" spans="1:9" s="5" customFormat="1" ht="24">
      <c r="A46" s="109"/>
      <c r="B46" s="45">
        <v>6060</v>
      </c>
      <c r="C46" s="46" t="s">
        <v>263</v>
      </c>
      <c r="D46" s="150">
        <v>0</v>
      </c>
      <c r="E46" s="137"/>
      <c r="F46" s="137"/>
      <c r="G46" s="151">
        <v>150000</v>
      </c>
      <c r="H46" s="90">
        <f t="shared" si="0"/>
        <v>0.004234536763274235</v>
      </c>
      <c r="I46"/>
    </row>
    <row r="47" spans="1:9" s="5" customFormat="1" ht="72.75" thickBot="1">
      <c r="A47" s="109"/>
      <c r="B47" s="47">
        <v>6300</v>
      </c>
      <c r="C47" s="48" t="s">
        <v>233</v>
      </c>
      <c r="D47" s="152">
        <v>33000</v>
      </c>
      <c r="E47" s="153"/>
      <c r="F47" s="153"/>
      <c r="G47" s="154">
        <v>0</v>
      </c>
      <c r="H47" s="90">
        <f t="shared" si="0"/>
        <v>0</v>
      </c>
      <c r="I47"/>
    </row>
    <row r="48" spans="1:9" s="5" customFormat="1" ht="15" thickBot="1" thickTop="1">
      <c r="A48" s="228" t="s">
        <v>75</v>
      </c>
      <c r="B48" s="229"/>
      <c r="C48" s="229"/>
      <c r="D48" s="155">
        <f>SUM(D22:D47)</f>
        <v>2730573</v>
      </c>
      <c r="E48" s="139">
        <f>SUM(E22:E45)</f>
        <v>0</v>
      </c>
      <c r="F48" s="139">
        <f>SUM(F22:F45)</f>
        <v>0</v>
      </c>
      <c r="G48" s="140">
        <f>SUM(G22:G47)</f>
        <v>1905200</v>
      </c>
      <c r="H48" s="91">
        <f>G48/G623</f>
        <v>0.05378426294260049</v>
      </c>
      <c r="I48" t="s">
        <v>236</v>
      </c>
    </row>
    <row r="49" spans="1:9" s="5" customFormat="1" ht="16.5" thickBot="1" thickTop="1">
      <c r="A49" s="230" t="s">
        <v>76</v>
      </c>
      <c r="B49" s="231"/>
      <c r="C49" s="231"/>
      <c r="D49" s="135">
        <f>D48</f>
        <v>2730573</v>
      </c>
      <c r="E49" s="145">
        <f>E48</f>
        <v>0</v>
      </c>
      <c r="F49" s="145">
        <f>F48</f>
        <v>0</v>
      </c>
      <c r="G49" s="146">
        <f>G48</f>
        <v>1905200</v>
      </c>
      <c r="H49" s="92">
        <f>G49/G623</f>
        <v>0.05378426294260049</v>
      </c>
      <c r="I49"/>
    </row>
    <row r="50" spans="1:9" s="5" customFormat="1" ht="21" thickBot="1" thickTop="1">
      <c r="A50" s="244" t="s">
        <v>252</v>
      </c>
      <c r="B50" s="245"/>
      <c r="C50" s="245"/>
      <c r="D50" s="245"/>
      <c r="E50" s="245"/>
      <c r="F50" s="245"/>
      <c r="G50" s="245"/>
      <c r="H50" s="246"/>
      <c r="I50"/>
    </row>
    <row r="51" spans="1:9" s="5" customFormat="1" ht="14.25" thickTop="1">
      <c r="A51" s="253">
        <v>63003</v>
      </c>
      <c r="B51" s="235" t="s">
        <v>267</v>
      </c>
      <c r="C51" s="236"/>
      <c r="D51" s="236"/>
      <c r="E51" s="236"/>
      <c r="F51" s="236"/>
      <c r="G51" s="236"/>
      <c r="H51" s="237"/>
      <c r="I51"/>
    </row>
    <row r="52" spans="1:9" s="5" customFormat="1" ht="48">
      <c r="A52" s="232"/>
      <c r="B52" s="10">
        <v>2820</v>
      </c>
      <c r="C52" s="11" t="s">
        <v>262</v>
      </c>
      <c r="D52" s="156">
        <v>10000</v>
      </c>
      <c r="E52" s="147"/>
      <c r="F52" s="147"/>
      <c r="G52" s="157">
        <v>10000</v>
      </c>
      <c r="H52" s="101">
        <f>G52/G623</f>
        <v>0.000282302450884949</v>
      </c>
      <c r="I52"/>
    </row>
    <row r="53" spans="1:9" s="5" customFormat="1" ht="12.75">
      <c r="A53" s="254"/>
      <c r="B53" s="10">
        <v>4210</v>
      </c>
      <c r="C53" s="11" t="s">
        <v>294</v>
      </c>
      <c r="D53" s="158">
        <v>6648</v>
      </c>
      <c r="E53" s="142"/>
      <c r="F53" s="142"/>
      <c r="G53" s="159">
        <v>5000</v>
      </c>
      <c r="H53" s="101">
        <f>G53/G623</f>
        <v>0.0001411512254424745</v>
      </c>
      <c r="I53"/>
    </row>
    <row r="54" spans="1:9" s="5" customFormat="1" ht="13.5" thickBot="1">
      <c r="A54" s="254"/>
      <c r="B54" s="10">
        <v>4300</v>
      </c>
      <c r="C54" s="11" t="s">
        <v>79</v>
      </c>
      <c r="D54" s="158">
        <v>0</v>
      </c>
      <c r="E54" s="142"/>
      <c r="F54" s="142"/>
      <c r="G54" s="159">
        <v>1500</v>
      </c>
      <c r="H54" s="101">
        <v>0</v>
      </c>
      <c r="I54"/>
    </row>
    <row r="55" spans="1:9" s="5" customFormat="1" ht="15" thickBot="1" thickTop="1">
      <c r="A55" s="228" t="s">
        <v>253</v>
      </c>
      <c r="B55" s="229"/>
      <c r="C55" s="229"/>
      <c r="D55" s="139">
        <f>SUM(D52:D54)</f>
        <v>16648</v>
      </c>
      <c r="E55" s="133">
        <f>SUM(E52:E54)</f>
        <v>0</v>
      </c>
      <c r="F55" s="133">
        <f>SUM(F52:F54)</f>
        <v>0</v>
      </c>
      <c r="G55" s="160">
        <f>SUM(G52:G54)</f>
        <v>16500</v>
      </c>
      <c r="H55" s="91">
        <f>G55/G623</f>
        <v>0.0004657990439601659</v>
      </c>
      <c r="I55"/>
    </row>
    <row r="56" spans="1:9" s="5" customFormat="1" ht="16.5" thickBot="1" thickTop="1">
      <c r="A56" s="230" t="s">
        <v>254</v>
      </c>
      <c r="B56" s="231"/>
      <c r="C56" s="231"/>
      <c r="D56" s="135">
        <f>SUM(D55)</f>
        <v>16648</v>
      </c>
      <c r="E56" s="145">
        <f>SUM(E55)</f>
        <v>0</v>
      </c>
      <c r="F56" s="145">
        <f>SUM(F55)</f>
        <v>0</v>
      </c>
      <c r="G56" s="146">
        <f>SUM(G55)</f>
        <v>16500</v>
      </c>
      <c r="H56" s="92">
        <f>G56/G623</f>
        <v>0.0004657990439601659</v>
      </c>
      <c r="I56"/>
    </row>
    <row r="57" spans="1:9" s="5" customFormat="1" ht="21" thickBot="1" thickTop="1">
      <c r="A57" s="244" t="s">
        <v>24</v>
      </c>
      <c r="B57" s="245"/>
      <c r="C57" s="245"/>
      <c r="D57" s="245"/>
      <c r="E57" s="245"/>
      <c r="F57" s="245"/>
      <c r="G57" s="245"/>
      <c r="H57" s="246"/>
      <c r="I57"/>
    </row>
    <row r="58" spans="1:9" s="5" customFormat="1" ht="14.25" customHeight="1" thickTop="1">
      <c r="A58" s="253">
        <v>70005</v>
      </c>
      <c r="B58" s="235" t="s">
        <v>4</v>
      </c>
      <c r="C58" s="236"/>
      <c r="D58" s="236"/>
      <c r="E58" s="236"/>
      <c r="F58" s="236"/>
      <c r="G58" s="236"/>
      <c r="H58" s="237"/>
      <c r="I58" s="2"/>
    </row>
    <row r="59" spans="1:9" s="5" customFormat="1" ht="25.5">
      <c r="A59" s="253"/>
      <c r="B59" s="97">
        <v>4010</v>
      </c>
      <c r="C59" s="96" t="s">
        <v>295</v>
      </c>
      <c r="D59" s="115">
        <v>4513</v>
      </c>
      <c r="E59" s="161"/>
      <c r="F59" s="161"/>
      <c r="G59" s="115">
        <v>0</v>
      </c>
      <c r="H59" s="101">
        <f>G59/D59</f>
        <v>0</v>
      </c>
      <c r="I59" s="2"/>
    </row>
    <row r="60" spans="1:9" s="5" customFormat="1" ht="25.5">
      <c r="A60" s="253"/>
      <c r="B60" s="97">
        <v>4110</v>
      </c>
      <c r="C60" s="96" t="s">
        <v>189</v>
      </c>
      <c r="D60" s="115">
        <v>776</v>
      </c>
      <c r="E60" s="161"/>
      <c r="F60" s="161"/>
      <c r="G60" s="116">
        <v>0</v>
      </c>
      <c r="H60" s="101">
        <f>G60/D60</f>
        <v>0</v>
      </c>
      <c r="I60" s="2"/>
    </row>
    <row r="61" spans="1:9" s="5" customFormat="1" ht="13.5">
      <c r="A61" s="253"/>
      <c r="B61" s="97">
        <v>4120</v>
      </c>
      <c r="C61" s="96" t="s">
        <v>80</v>
      </c>
      <c r="D61" s="115">
        <v>111</v>
      </c>
      <c r="E61" s="161"/>
      <c r="F61" s="161"/>
      <c r="G61" s="116">
        <v>0</v>
      </c>
      <c r="H61" s="101">
        <f>G61/D61</f>
        <v>0</v>
      </c>
      <c r="I61" s="2"/>
    </row>
    <row r="62" spans="1:9" s="5" customFormat="1" ht="12.75">
      <c r="A62" s="232"/>
      <c r="B62" s="10">
        <v>4210</v>
      </c>
      <c r="C62" s="11" t="s">
        <v>64</v>
      </c>
      <c r="D62" s="158">
        <v>2000</v>
      </c>
      <c r="E62" s="142"/>
      <c r="F62" s="142"/>
      <c r="G62" s="159">
        <v>1000</v>
      </c>
      <c r="H62" s="101">
        <f>G62/$G$623</f>
        <v>2.82302450884949E-05</v>
      </c>
      <c r="I62" s="2"/>
    </row>
    <row r="63" spans="1:9" s="5" customFormat="1" ht="12.75">
      <c r="A63" s="254"/>
      <c r="B63" s="10">
        <v>4300</v>
      </c>
      <c r="C63" s="11" t="s">
        <v>79</v>
      </c>
      <c r="D63" s="158">
        <v>18158</v>
      </c>
      <c r="E63" s="142"/>
      <c r="F63" s="142"/>
      <c r="G63" s="159">
        <v>19000</v>
      </c>
      <c r="H63" s="101">
        <f>G63/$G$623</f>
        <v>0.0005363746566814031</v>
      </c>
      <c r="I63" s="2"/>
    </row>
    <row r="64" spans="1:9" s="5" customFormat="1" ht="24">
      <c r="A64" s="254"/>
      <c r="B64" s="45">
        <v>4590</v>
      </c>
      <c r="C64" s="46" t="s">
        <v>123</v>
      </c>
      <c r="D64" s="136">
        <v>135417</v>
      </c>
      <c r="E64" s="137"/>
      <c r="F64" s="137"/>
      <c r="G64" s="159">
        <v>0</v>
      </c>
      <c r="H64" s="101">
        <f>G64/$G$623</f>
        <v>0</v>
      </c>
      <c r="I64" s="2"/>
    </row>
    <row r="65" spans="1:9" s="5" customFormat="1" ht="12.75">
      <c r="A65" s="254"/>
      <c r="B65" s="45">
        <v>4480</v>
      </c>
      <c r="C65" s="11" t="s">
        <v>130</v>
      </c>
      <c r="D65" s="136">
        <v>2700</v>
      </c>
      <c r="E65" s="137"/>
      <c r="F65" s="137"/>
      <c r="G65" s="138">
        <v>3000</v>
      </c>
      <c r="H65" s="101">
        <f>G65/$G$623</f>
        <v>8.46907352654847E-05</v>
      </c>
      <c r="I65"/>
    </row>
    <row r="66" spans="1:9" s="5" customFormat="1" ht="36.75" thickBot="1">
      <c r="A66" s="76"/>
      <c r="B66" s="47">
        <v>4750</v>
      </c>
      <c r="C66" s="80" t="s">
        <v>310</v>
      </c>
      <c r="D66" s="152">
        <v>1000</v>
      </c>
      <c r="E66" s="162"/>
      <c r="F66" s="162"/>
      <c r="G66" s="152">
        <v>0</v>
      </c>
      <c r="H66" s="101">
        <f>G66/$G$623</f>
        <v>0</v>
      </c>
      <c r="I66"/>
    </row>
    <row r="67" spans="1:9" s="5" customFormat="1" ht="15" thickBot="1" thickTop="1">
      <c r="A67" s="228" t="s">
        <v>50</v>
      </c>
      <c r="B67" s="229"/>
      <c r="C67" s="229"/>
      <c r="D67" s="139">
        <f>SUM(D59:D66)</f>
        <v>164675</v>
      </c>
      <c r="E67" s="133">
        <f>SUM(E62:E65)</f>
        <v>0</v>
      </c>
      <c r="F67" s="133">
        <f>SUM(F62:F65)</f>
        <v>0</v>
      </c>
      <c r="G67" s="160">
        <f>SUM(G62:G65)</f>
        <v>23000</v>
      </c>
      <c r="H67" s="91">
        <f>G67/G623</f>
        <v>0.0006492956370353827</v>
      </c>
      <c r="I67" t="s">
        <v>236</v>
      </c>
    </row>
    <row r="68" spans="1:9" s="5" customFormat="1" ht="16.5" thickBot="1" thickTop="1">
      <c r="A68" s="230" t="s">
        <v>51</v>
      </c>
      <c r="B68" s="231"/>
      <c r="C68" s="231"/>
      <c r="D68" s="135">
        <f>SUM(D67)</f>
        <v>164675</v>
      </c>
      <c r="E68" s="145">
        <f>SUM(E67)</f>
        <v>0</v>
      </c>
      <c r="F68" s="145">
        <f>SUM(F67)</f>
        <v>0</v>
      </c>
      <c r="G68" s="146">
        <f>SUM(G67)</f>
        <v>23000</v>
      </c>
      <c r="H68" s="92">
        <f>G68/G623</f>
        <v>0.0006492956370353827</v>
      </c>
      <c r="I68"/>
    </row>
    <row r="69" spans="1:14" s="5" customFormat="1" ht="21" thickBot="1" thickTop="1">
      <c r="A69" s="244" t="s">
        <v>21</v>
      </c>
      <c r="B69" s="245"/>
      <c r="C69" s="245"/>
      <c r="D69" s="245"/>
      <c r="E69" s="245"/>
      <c r="F69" s="245"/>
      <c r="G69" s="245"/>
      <c r="H69" s="246"/>
      <c r="I69"/>
      <c r="N69" s="70"/>
    </row>
    <row r="70" spans="1:9" s="5" customFormat="1" ht="14.25" customHeight="1" thickTop="1">
      <c r="A70" s="253">
        <v>71013</v>
      </c>
      <c r="B70" s="235" t="s">
        <v>5</v>
      </c>
      <c r="C70" s="236"/>
      <c r="D70" s="236"/>
      <c r="E70" s="236"/>
      <c r="F70" s="236"/>
      <c r="G70" s="236"/>
      <c r="H70" s="237"/>
      <c r="I70"/>
    </row>
    <row r="71" spans="1:9" s="5" customFormat="1" ht="13.5" thickBot="1">
      <c r="A71" s="254"/>
      <c r="B71" s="45">
        <v>4300</v>
      </c>
      <c r="C71" s="46" t="s">
        <v>79</v>
      </c>
      <c r="D71" s="136">
        <v>25000</v>
      </c>
      <c r="E71" s="137"/>
      <c r="F71" s="137"/>
      <c r="G71" s="138">
        <v>20000</v>
      </c>
      <c r="H71" s="95">
        <f>G71/G623</f>
        <v>0.000564604901769898</v>
      </c>
      <c r="I71"/>
    </row>
    <row r="72" spans="1:9" s="5" customFormat="1" ht="15" thickBot="1" thickTop="1">
      <c r="A72" s="228" t="s">
        <v>28</v>
      </c>
      <c r="B72" s="229"/>
      <c r="C72" s="229"/>
      <c r="D72" s="133">
        <f>SUM(D71)</f>
        <v>25000</v>
      </c>
      <c r="E72" s="133">
        <f>SUM(E71)</f>
        <v>0</v>
      </c>
      <c r="F72" s="133">
        <f>SUM(F71)</f>
        <v>0</v>
      </c>
      <c r="G72" s="160">
        <f>SUM(G71)</f>
        <v>20000</v>
      </c>
      <c r="H72" s="91">
        <f>G72/G623</f>
        <v>0.000564604901769898</v>
      </c>
      <c r="I72" t="s">
        <v>236</v>
      </c>
    </row>
    <row r="73" spans="1:9" s="5" customFormat="1" ht="15" customHeight="1" thickTop="1">
      <c r="A73" s="253">
        <v>71014</v>
      </c>
      <c r="B73" s="235" t="s">
        <v>23</v>
      </c>
      <c r="C73" s="236"/>
      <c r="D73" s="236"/>
      <c r="E73" s="236"/>
      <c r="F73" s="236"/>
      <c r="G73" s="236"/>
      <c r="H73" s="237"/>
      <c r="I73"/>
    </row>
    <row r="74" spans="1:9" s="5" customFormat="1" ht="13.5" thickBot="1">
      <c r="A74" s="254"/>
      <c r="B74" s="45">
        <v>4300</v>
      </c>
      <c r="C74" s="46" t="s">
        <v>79</v>
      </c>
      <c r="D74" s="136">
        <v>3500</v>
      </c>
      <c r="E74" s="137"/>
      <c r="F74" s="137"/>
      <c r="G74" s="138">
        <v>3500</v>
      </c>
      <c r="H74" s="95">
        <f>G74/G623</f>
        <v>9.880585780973216E-05</v>
      </c>
      <c r="I74"/>
    </row>
    <row r="75" spans="1:9" s="5" customFormat="1" ht="15" thickBot="1" thickTop="1">
      <c r="A75" s="228" t="s">
        <v>26</v>
      </c>
      <c r="B75" s="229"/>
      <c r="C75" s="229"/>
      <c r="D75" s="139">
        <f>SUM(D74)</f>
        <v>3500</v>
      </c>
      <c r="E75" s="133">
        <f>SUM(E74)</f>
        <v>0</v>
      </c>
      <c r="F75" s="133">
        <f>SUM(F74)</f>
        <v>0</v>
      </c>
      <c r="G75" s="140">
        <f>SUM(G74)</f>
        <v>3500</v>
      </c>
      <c r="H75" s="91">
        <f>G75/G623</f>
        <v>9.880585780973216E-05</v>
      </c>
      <c r="I75" t="s">
        <v>236</v>
      </c>
    </row>
    <row r="76" spans="1:9" s="5" customFormat="1" ht="14.25" customHeight="1" thickTop="1">
      <c r="A76" s="250">
        <v>71015</v>
      </c>
      <c r="B76" s="235" t="s">
        <v>6</v>
      </c>
      <c r="C76" s="236"/>
      <c r="D76" s="236"/>
      <c r="E76" s="236"/>
      <c r="F76" s="236"/>
      <c r="G76" s="236"/>
      <c r="H76" s="237"/>
      <c r="I76"/>
    </row>
    <row r="77" spans="1:9" s="5" customFormat="1" ht="24">
      <c r="A77" s="251"/>
      <c r="B77" s="10">
        <v>4010</v>
      </c>
      <c r="C77" s="11" t="s">
        <v>62</v>
      </c>
      <c r="D77" s="158">
        <v>48720</v>
      </c>
      <c r="E77" s="142"/>
      <c r="F77" s="142"/>
      <c r="G77" s="159">
        <v>66200</v>
      </c>
      <c r="H77" s="93">
        <f>G77/$G$623</f>
        <v>0.0018688422248583625</v>
      </c>
      <c r="I77"/>
    </row>
    <row r="78" spans="1:9" s="5" customFormat="1" ht="24">
      <c r="A78" s="251"/>
      <c r="B78" s="10">
        <v>4020</v>
      </c>
      <c r="C78" s="11" t="s">
        <v>296</v>
      </c>
      <c r="D78" s="158">
        <v>75246</v>
      </c>
      <c r="E78" s="142"/>
      <c r="F78" s="142"/>
      <c r="G78" s="159">
        <v>120000</v>
      </c>
      <c r="H78" s="93">
        <f aca="true" t="shared" si="1" ref="H78:H92">G78/$G$623</f>
        <v>0.0033876294106193884</v>
      </c>
      <c r="I78"/>
    </row>
    <row r="79" spans="1:9" s="5" customFormat="1" ht="12.75" customHeight="1">
      <c r="A79" s="251"/>
      <c r="B79" s="10">
        <v>4040</v>
      </c>
      <c r="C79" s="11" t="s">
        <v>82</v>
      </c>
      <c r="D79" s="158">
        <v>8377</v>
      </c>
      <c r="E79" s="142"/>
      <c r="F79" s="142"/>
      <c r="G79" s="159">
        <v>9951</v>
      </c>
      <c r="H79" s="93">
        <f t="shared" si="1"/>
        <v>0.0002809191688756128</v>
      </c>
      <c r="I79"/>
    </row>
    <row r="80" spans="1:9" s="5" customFormat="1" ht="12.75" customHeight="1">
      <c r="A80" s="251"/>
      <c r="B80" s="10">
        <v>4110</v>
      </c>
      <c r="C80" s="11" t="s">
        <v>81</v>
      </c>
      <c r="D80" s="158">
        <v>23893</v>
      </c>
      <c r="E80" s="142"/>
      <c r="F80" s="142"/>
      <c r="G80" s="159">
        <v>31502</v>
      </c>
      <c r="H80" s="93">
        <f t="shared" si="1"/>
        <v>0.0008893091807777664</v>
      </c>
      <c r="I80"/>
    </row>
    <row r="81" spans="1:9" s="5" customFormat="1" ht="12.75" customHeight="1">
      <c r="A81" s="251"/>
      <c r="B81" s="10">
        <v>4120</v>
      </c>
      <c r="C81" s="11" t="s">
        <v>80</v>
      </c>
      <c r="D81" s="158">
        <v>3251</v>
      </c>
      <c r="E81" s="142"/>
      <c r="F81" s="142"/>
      <c r="G81" s="159">
        <v>4806</v>
      </c>
      <c r="H81" s="93">
        <f t="shared" si="1"/>
        <v>0.0001356745578953065</v>
      </c>
      <c r="I81"/>
    </row>
    <row r="82" spans="1:9" s="5" customFormat="1" ht="12.75" customHeight="1">
      <c r="A82" s="251"/>
      <c r="B82" s="10">
        <v>4210</v>
      </c>
      <c r="C82" s="11" t="s">
        <v>64</v>
      </c>
      <c r="D82" s="158">
        <v>14935</v>
      </c>
      <c r="E82" s="142"/>
      <c r="F82" s="142"/>
      <c r="G82" s="159">
        <v>20382</v>
      </c>
      <c r="H82" s="93">
        <f t="shared" si="1"/>
        <v>0.0005753888553937031</v>
      </c>
      <c r="I82"/>
    </row>
    <row r="83" spans="1:9" s="5" customFormat="1" ht="12.75" customHeight="1">
      <c r="A83" s="251"/>
      <c r="B83" s="10">
        <v>4300</v>
      </c>
      <c r="C83" s="11" t="s">
        <v>79</v>
      </c>
      <c r="D83" s="158">
        <v>3774</v>
      </c>
      <c r="E83" s="142"/>
      <c r="F83" s="142"/>
      <c r="G83" s="159">
        <v>2800</v>
      </c>
      <c r="H83" s="93">
        <f t="shared" si="1"/>
        <v>7.904468624778573E-05</v>
      </c>
      <c r="I83"/>
    </row>
    <row r="84" spans="1:9" s="5" customFormat="1" ht="36">
      <c r="A84" s="251"/>
      <c r="B84" s="10">
        <v>4360</v>
      </c>
      <c r="C84" s="11" t="s">
        <v>320</v>
      </c>
      <c r="D84" s="158">
        <v>450</v>
      </c>
      <c r="E84" s="142"/>
      <c r="F84" s="142"/>
      <c r="G84" s="159">
        <v>630</v>
      </c>
      <c r="H84" s="93">
        <f t="shared" si="1"/>
        <v>1.7785054405751788E-05</v>
      </c>
      <c r="I84"/>
    </row>
    <row r="85" spans="1:9" s="5" customFormat="1" ht="36">
      <c r="A85" s="251"/>
      <c r="B85" s="10">
        <v>4370</v>
      </c>
      <c r="C85" s="11" t="s">
        <v>311</v>
      </c>
      <c r="D85" s="158">
        <v>0</v>
      </c>
      <c r="E85" s="142"/>
      <c r="F85" s="142"/>
      <c r="G85" s="159">
        <v>1810</v>
      </c>
      <c r="H85" s="93">
        <f t="shared" si="1"/>
        <v>5.1096743610175775E-05</v>
      </c>
      <c r="I85"/>
    </row>
    <row r="86" spans="1:9" s="5" customFormat="1" ht="24">
      <c r="A86" s="251"/>
      <c r="B86" s="10">
        <v>4400</v>
      </c>
      <c r="C86" s="11" t="s">
        <v>268</v>
      </c>
      <c r="D86" s="158">
        <v>910</v>
      </c>
      <c r="E86" s="142"/>
      <c r="F86" s="142"/>
      <c r="G86" s="159">
        <v>31000</v>
      </c>
      <c r="H86" s="93">
        <f t="shared" si="1"/>
        <v>0.0008751375977433419</v>
      </c>
      <c r="I86"/>
    </row>
    <row r="87" spans="1:9" s="5" customFormat="1" ht="12.75" customHeight="1">
      <c r="A87" s="251"/>
      <c r="B87" s="10">
        <v>4410</v>
      </c>
      <c r="C87" s="11" t="s">
        <v>67</v>
      </c>
      <c r="D87" s="158">
        <v>500</v>
      </c>
      <c r="E87" s="142"/>
      <c r="F87" s="142"/>
      <c r="G87" s="159">
        <v>1200</v>
      </c>
      <c r="H87" s="93">
        <f t="shared" si="1"/>
        <v>3.387629410619388E-05</v>
      </c>
      <c r="I87"/>
    </row>
    <row r="88" spans="1:9" s="5" customFormat="1" ht="12.75" customHeight="1">
      <c r="A88" s="251"/>
      <c r="B88" s="10">
        <v>4430</v>
      </c>
      <c r="C88" s="11" t="s">
        <v>78</v>
      </c>
      <c r="D88" s="158">
        <v>1750</v>
      </c>
      <c r="E88" s="142"/>
      <c r="F88" s="142"/>
      <c r="G88" s="159">
        <v>1500</v>
      </c>
      <c r="H88" s="93">
        <f t="shared" si="1"/>
        <v>4.234536763274235E-05</v>
      </c>
      <c r="I88"/>
    </row>
    <row r="89" spans="1:9" s="5" customFormat="1" ht="13.5" customHeight="1">
      <c r="A89" s="251"/>
      <c r="B89" s="45">
        <v>4440</v>
      </c>
      <c r="C89" s="46" t="s">
        <v>69</v>
      </c>
      <c r="D89" s="136">
        <v>3219</v>
      </c>
      <c r="E89" s="137"/>
      <c r="F89" s="137"/>
      <c r="G89" s="136">
        <v>3219</v>
      </c>
      <c r="H89" s="93">
        <f t="shared" si="1"/>
        <v>9.087315893986509E-05</v>
      </c>
      <c r="I89"/>
    </row>
    <row r="90" spans="1:9" s="5" customFormat="1" ht="24">
      <c r="A90" s="251"/>
      <c r="B90" s="45">
        <v>4550</v>
      </c>
      <c r="C90" s="46" t="s">
        <v>245</v>
      </c>
      <c r="D90" s="136">
        <v>600</v>
      </c>
      <c r="E90" s="137"/>
      <c r="F90" s="137"/>
      <c r="G90" s="136">
        <v>1000</v>
      </c>
      <c r="H90" s="93">
        <f t="shared" si="1"/>
        <v>2.82302450884949E-05</v>
      </c>
      <c r="I90"/>
    </row>
    <row r="91" spans="1:9" s="5" customFormat="1" ht="36">
      <c r="A91" s="251"/>
      <c r="B91" s="45">
        <v>4740</v>
      </c>
      <c r="C91" s="46" t="s">
        <v>246</v>
      </c>
      <c r="D91" s="136">
        <v>2176</v>
      </c>
      <c r="E91" s="137"/>
      <c r="F91" s="137"/>
      <c r="G91" s="136">
        <v>2000</v>
      </c>
      <c r="H91" s="93">
        <f t="shared" si="1"/>
        <v>5.64604901769898E-05</v>
      </c>
      <c r="I91"/>
    </row>
    <row r="92" spans="1:9" s="5" customFormat="1" ht="36.75" thickBot="1">
      <c r="A92" s="252"/>
      <c r="B92" s="47">
        <v>4750</v>
      </c>
      <c r="C92" s="48" t="s">
        <v>310</v>
      </c>
      <c r="D92" s="163">
        <v>1100</v>
      </c>
      <c r="E92" s="153"/>
      <c r="F92" s="153"/>
      <c r="G92" s="163">
        <v>1000</v>
      </c>
      <c r="H92" s="93">
        <f t="shared" si="1"/>
        <v>2.82302450884949E-05</v>
      </c>
      <c r="I92"/>
    </row>
    <row r="93" spans="1:9" s="5" customFormat="1" ht="15" thickBot="1" thickTop="1">
      <c r="A93" s="228" t="s">
        <v>187</v>
      </c>
      <c r="B93" s="229"/>
      <c r="C93" s="229"/>
      <c r="D93" s="139">
        <f>SUM(D77:D92)</f>
        <v>188901</v>
      </c>
      <c r="E93" s="139">
        <f>SUM(E77:E89)</f>
        <v>0</v>
      </c>
      <c r="F93" s="139">
        <f>SUM(F77:F89)</f>
        <v>0</v>
      </c>
      <c r="G93" s="139">
        <f>SUM(G77:G92)</f>
        <v>299000</v>
      </c>
      <c r="H93" s="91">
        <f>G93/G623</f>
        <v>0.008440843281459975</v>
      </c>
      <c r="I93" t="s">
        <v>236</v>
      </c>
    </row>
    <row r="94" spans="1:8" ht="16.5" thickBot="1" thickTop="1">
      <c r="A94" s="230" t="s">
        <v>25</v>
      </c>
      <c r="B94" s="231"/>
      <c r="C94" s="231"/>
      <c r="D94" s="135">
        <f>D72+D75+D93</f>
        <v>217401</v>
      </c>
      <c r="E94" s="145">
        <f>E72+E75+E93</f>
        <v>0</v>
      </c>
      <c r="F94" s="145">
        <f>F72+F75+F93</f>
        <v>0</v>
      </c>
      <c r="G94" s="146">
        <f>G72+G75+G93</f>
        <v>322500</v>
      </c>
      <c r="H94" s="92">
        <f>G94/G623</f>
        <v>0.009104254041039607</v>
      </c>
    </row>
    <row r="95" spans="1:8" ht="21.75" customHeight="1" thickBot="1" thickTop="1">
      <c r="A95" s="244" t="s">
        <v>22</v>
      </c>
      <c r="B95" s="245"/>
      <c r="C95" s="245"/>
      <c r="D95" s="245"/>
      <c r="E95" s="245"/>
      <c r="F95" s="245"/>
      <c r="G95" s="245"/>
      <c r="H95" s="246"/>
    </row>
    <row r="96" spans="1:8" ht="14.25" customHeight="1" thickTop="1">
      <c r="A96" s="253">
        <v>75011</v>
      </c>
      <c r="B96" s="235" t="s">
        <v>297</v>
      </c>
      <c r="C96" s="236"/>
      <c r="D96" s="236"/>
      <c r="E96" s="236"/>
      <c r="F96" s="236"/>
      <c r="G96" s="236"/>
      <c r="H96" s="237"/>
    </row>
    <row r="97" spans="1:8" ht="24">
      <c r="A97" s="232"/>
      <c r="B97" s="10">
        <v>4010</v>
      </c>
      <c r="C97" s="11" t="s">
        <v>62</v>
      </c>
      <c r="D97" s="158">
        <v>110000</v>
      </c>
      <c r="E97" s="142"/>
      <c r="F97" s="142"/>
      <c r="G97" s="159">
        <v>112530</v>
      </c>
      <c r="H97" s="93">
        <f>G97/G623</f>
        <v>0.0031767494798083315</v>
      </c>
    </row>
    <row r="98" spans="1:8" ht="12.75">
      <c r="A98" s="232"/>
      <c r="B98" s="10">
        <v>4040</v>
      </c>
      <c r="C98" s="11" t="s">
        <v>63</v>
      </c>
      <c r="D98" s="158">
        <v>10000</v>
      </c>
      <c r="E98" s="142"/>
      <c r="F98" s="142"/>
      <c r="G98" s="159">
        <v>9350</v>
      </c>
      <c r="H98" s="93">
        <f>G98/G623</f>
        <v>0.00026395279157742733</v>
      </c>
    </row>
    <row r="99" spans="1:8" ht="15" customHeight="1">
      <c r="A99" s="232"/>
      <c r="B99" s="10">
        <v>4110</v>
      </c>
      <c r="C99" s="11" t="s">
        <v>81</v>
      </c>
      <c r="D99" s="158">
        <v>20520</v>
      </c>
      <c r="E99" s="142"/>
      <c r="F99" s="142"/>
      <c r="G99" s="159">
        <v>18514</v>
      </c>
      <c r="H99" s="93">
        <f>G99/$G$623</f>
        <v>0.0005226547575683946</v>
      </c>
    </row>
    <row r="100" spans="1:8" ht="12.75">
      <c r="A100" s="232"/>
      <c r="B100" s="10">
        <v>4120</v>
      </c>
      <c r="C100" s="11" t="s">
        <v>80</v>
      </c>
      <c r="D100" s="158">
        <v>2940</v>
      </c>
      <c r="E100" s="142"/>
      <c r="F100" s="142"/>
      <c r="G100" s="159">
        <v>2986</v>
      </c>
      <c r="H100" s="93">
        <f>G100/$G$623</f>
        <v>8.429551183424578E-05</v>
      </c>
    </row>
    <row r="101" spans="1:8" ht="13.5" thickBot="1">
      <c r="A101" s="254"/>
      <c r="B101" s="45">
        <v>4440</v>
      </c>
      <c r="C101" s="46" t="s">
        <v>69</v>
      </c>
      <c r="D101" s="136">
        <v>3387</v>
      </c>
      <c r="E101" s="137"/>
      <c r="F101" s="137"/>
      <c r="G101" s="138">
        <v>3387</v>
      </c>
      <c r="H101" s="93">
        <f>G101/$G$623</f>
        <v>9.561584011473223E-05</v>
      </c>
    </row>
    <row r="102" spans="1:8" ht="15" thickBot="1" thickTop="1">
      <c r="A102" s="228" t="s">
        <v>27</v>
      </c>
      <c r="B102" s="229"/>
      <c r="C102" s="229"/>
      <c r="D102" s="133">
        <f>SUM(D97:D101)</f>
        <v>146847</v>
      </c>
      <c r="E102" s="133">
        <f>SUM(E97:E101)</f>
        <v>0</v>
      </c>
      <c r="F102" s="133">
        <f>SUM(F97:F101)</f>
        <v>0</v>
      </c>
      <c r="G102" s="140">
        <f>SUM(G97:G101)</f>
        <v>146767</v>
      </c>
      <c r="H102" s="91">
        <f>G102/G623</f>
        <v>0.004143268380903131</v>
      </c>
    </row>
    <row r="103" spans="1:8" ht="14.25" customHeight="1" thickTop="1">
      <c r="A103" s="253">
        <v>75019</v>
      </c>
      <c r="B103" s="235" t="s">
        <v>77</v>
      </c>
      <c r="C103" s="236"/>
      <c r="D103" s="236"/>
      <c r="E103" s="236"/>
      <c r="F103" s="236"/>
      <c r="G103" s="236"/>
      <c r="H103" s="237"/>
    </row>
    <row r="104" spans="1:8" ht="24">
      <c r="A104" s="232"/>
      <c r="B104" s="13">
        <v>3030</v>
      </c>
      <c r="C104" s="11" t="s">
        <v>74</v>
      </c>
      <c r="D104" s="147">
        <v>149977</v>
      </c>
      <c r="E104" s="142"/>
      <c r="F104" s="142"/>
      <c r="G104" s="164">
        <v>159516</v>
      </c>
      <c r="H104" s="90">
        <f>G104/$G$623</f>
        <v>0.004503175775536353</v>
      </c>
    </row>
    <row r="105" spans="1:8" ht="24">
      <c r="A105" s="232"/>
      <c r="B105" s="10">
        <v>4010</v>
      </c>
      <c r="C105" s="11" t="s">
        <v>62</v>
      </c>
      <c r="D105" s="156">
        <v>36000</v>
      </c>
      <c r="E105" s="147"/>
      <c r="F105" s="147"/>
      <c r="G105" s="164">
        <v>39570</v>
      </c>
      <c r="H105" s="90">
        <f aca="true" t="shared" si="2" ref="H105:H114">G105/$G$623</f>
        <v>0.0011170707981517432</v>
      </c>
    </row>
    <row r="106" spans="1:8" ht="12.75">
      <c r="A106" s="232"/>
      <c r="B106" s="10">
        <v>4040</v>
      </c>
      <c r="C106" s="11" t="s">
        <v>82</v>
      </c>
      <c r="D106" s="158">
        <v>2905</v>
      </c>
      <c r="E106" s="142"/>
      <c r="F106" s="142"/>
      <c r="G106" s="164">
        <v>3060</v>
      </c>
      <c r="H106" s="90">
        <f t="shared" si="2"/>
        <v>8.63845499707944E-05</v>
      </c>
    </row>
    <row r="107" spans="1:8" ht="14.25" customHeight="1">
      <c r="A107" s="232"/>
      <c r="B107" s="10">
        <v>4110</v>
      </c>
      <c r="C107" s="11" t="s">
        <v>81</v>
      </c>
      <c r="D107" s="158">
        <v>6704</v>
      </c>
      <c r="E107" s="142"/>
      <c r="F107" s="142"/>
      <c r="G107" s="165">
        <v>6480</v>
      </c>
      <c r="H107" s="90">
        <f t="shared" si="2"/>
        <v>0.00018293198817344696</v>
      </c>
    </row>
    <row r="108" spans="1:8" ht="12.75">
      <c r="A108" s="232"/>
      <c r="B108" s="10">
        <v>4120</v>
      </c>
      <c r="C108" s="11" t="s">
        <v>80</v>
      </c>
      <c r="D108" s="158">
        <v>956</v>
      </c>
      <c r="E108" s="142"/>
      <c r="F108" s="142"/>
      <c r="G108" s="164">
        <v>1044</v>
      </c>
      <c r="H108" s="90">
        <f t="shared" si="2"/>
        <v>2.9472375872388676E-05</v>
      </c>
    </row>
    <row r="109" spans="1:8" ht="12.75">
      <c r="A109" s="232"/>
      <c r="B109" s="10">
        <v>4170</v>
      </c>
      <c r="C109" s="224" t="s">
        <v>192</v>
      </c>
      <c r="D109" s="158">
        <v>0</v>
      </c>
      <c r="E109" s="158"/>
      <c r="F109" s="158"/>
      <c r="G109" s="164">
        <v>500</v>
      </c>
      <c r="H109" s="90">
        <f t="shared" si="2"/>
        <v>1.411512254424745E-05</v>
      </c>
    </row>
    <row r="110" spans="1:8" ht="12.75">
      <c r="A110" s="232"/>
      <c r="B110" s="10">
        <v>4210</v>
      </c>
      <c r="C110" s="11" t="s">
        <v>64</v>
      </c>
      <c r="D110" s="158">
        <v>3000</v>
      </c>
      <c r="E110" s="142"/>
      <c r="F110" s="142"/>
      <c r="G110" s="164">
        <v>3000</v>
      </c>
      <c r="H110" s="90">
        <f t="shared" si="2"/>
        <v>8.46907352654847E-05</v>
      </c>
    </row>
    <row r="111" spans="1:8" ht="12.75">
      <c r="A111" s="232"/>
      <c r="B111" s="10">
        <v>4300</v>
      </c>
      <c r="C111" s="11" t="s">
        <v>79</v>
      </c>
      <c r="D111" s="158">
        <v>1000</v>
      </c>
      <c r="E111" s="142"/>
      <c r="F111" s="142"/>
      <c r="G111" s="164">
        <v>2000</v>
      </c>
      <c r="H111" s="90">
        <f t="shared" si="2"/>
        <v>5.64604901769898E-05</v>
      </c>
    </row>
    <row r="112" spans="1:8" ht="12.75">
      <c r="A112" s="232"/>
      <c r="B112" s="10">
        <v>4410</v>
      </c>
      <c r="C112" s="11" t="s">
        <v>67</v>
      </c>
      <c r="D112" s="158">
        <v>500</v>
      </c>
      <c r="E112" s="142"/>
      <c r="F112" s="142"/>
      <c r="G112" s="164">
        <v>500</v>
      </c>
      <c r="H112" s="90">
        <f t="shared" si="2"/>
        <v>1.411512254424745E-05</v>
      </c>
    </row>
    <row r="113" spans="1:8" ht="12.75">
      <c r="A113" s="232"/>
      <c r="B113" s="10">
        <v>4430</v>
      </c>
      <c r="C113" s="11" t="s">
        <v>78</v>
      </c>
      <c r="D113" s="158">
        <v>14070</v>
      </c>
      <c r="E113" s="142"/>
      <c r="F113" s="142"/>
      <c r="G113" s="164">
        <v>15430</v>
      </c>
      <c r="H113" s="90">
        <f t="shared" si="2"/>
        <v>0.00043559268171547633</v>
      </c>
    </row>
    <row r="114" spans="1:8" ht="13.5" thickBot="1">
      <c r="A114" s="254"/>
      <c r="B114" s="45">
        <v>4440</v>
      </c>
      <c r="C114" s="46" t="s">
        <v>69</v>
      </c>
      <c r="D114" s="136">
        <v>1341</v>
      </c>
      <c r="E114" s="137"/>
      <c r="F114" s="137"/>
      <c r="G114" s="166">
        <v>1341</v>
      </c>
      <c r="H114" s="90">
        <f t="shared" si="2"/>
        <v>3.7856758663671664E-05</v>
      </c>
    </row>
    <row r="115" spans="1:8" ht="15" thickBot="1" thickTop="1">
      <c r="A115" s="228" t="s">
        <v>188</v>
      </c>
      <c r="B115" s="229"/>
      <c r="C115" s="229"/>
      <c r="D115" s="139">
        <f>SUM(D104:D114)</f>
        <v>216453</v>
      </c>
      <c r="E115" s="139">
        <f>SUM(E104:E114)</f>
        <v>0</v>
      </c>
      <c r="F115" s="139">
        <f>SUM(F104:F114)</f>
        <v>0</v>
      </c>
      <c r="G115" s="139">
        <f>SUM(G104:G114)</f>
        <v>232441</v>
      </c>
      <c r="H115" s="91">
        <f>G115/G623</f>
        <v>0.006561866398614844</v>
      </c>
    </row>
    <row r="116" spans="1:8" ht="14.25" customHeight="1" thickTop="1">
      <c r="A116" s="250">
        <v>75020</v>
      </c>
      <c r="B116" s="235" t="s">
        <v>7</v>
      </c>
      <c r="C116" s="236"/>
      <c r="D116" s="236"/>
      <c r="E116" s="236"/>
      <c r="F116" s="236"/>
      <c r="G116" s="236"/>
      <c r="H116" s="237"/>
    </row>
    <row r="117" spans="1:8" ht="32.25" customHeight="1">
      <c r="A117" s="251"/>
      <c r="B117" s="10">
        <v>2310</v>
      </c>
      <c r="C117" s="11" t="s">
        <v>137</v>
      </c>
      <c r="D117" s="158">
        <v>8000</v>
      </c>
      <c r="E117" s="142"/>
      <c r="F117" s="142"/>
      <c r="G117" s="159">
        <v>3000</v>
      </c>
      <c r="H117" s="93">
        <f>G117/$G$623</f>
        <v>8.46907352654847E-05</v>
      </c>
    </row>
    <row r="118" spans="1:8" ht="27" customHeight="1">
      <c r="A118" s="251"/>
      <c r="B118" s="10">
        <v>3020</v>
      </c>
      <c r="C118" s="11" t="s">
        <v>200</v>
      </c>
      <c r="D118" s="158">
        <v>8000</v>
      </c>
      <c r="E118" s="142"/>
      <c r="F118" s="142"/>
      <c r="G118" s="159">
        <v>10000</v>
      </c>
      <c r="H118" s="93">
        <f aca="true" t="shared" si="3" ref="H118:H144">G118/$G$623</f>
        <v>0.000282302450884949</v>
      </c>
    </row>
    <row r="119" spans="1:8" ht="24" customHeight="1">
      <c r="A119" s="251"/>
      <c r="B119" s="10">
        <v>4010</v>
      </c>
      <c r="C119" s="11" t="s">
        <v>62</v>
      </c>
      <c r="D119" s="158">
        <v>1450990</v>
      </c>
      <c r="E119" s="142"/>
      <c r="F119" s="142"/>
      <c r="G119" s="159">
        <v>1506798</v>
      </c>
      <c r="H119" s="93">
        <f t="shared" si="3"/>
        <v>0.042537276838853944</v>
      </c>
    </row>
    <row r="120" spans="1:8" ht="12.75" customHeight="1">
      <c r="A120" s="251"/>
      <c r="B120" s="10">
        <v>4040</v>
      </c>
      <c r="C120" s="11" t="s">
        <v>82</v>
      </c>
      <c r="D120" s="158">
        <v>108548</v>
      </c>
      <c r="E120" s="142"/>
      <c r="F120" s="142"/>
      <c r="G120" s="159">
        <v>119250</v>
      </c>
      <c r="H120" s="93">
        <f t="shared" si="3"/>
        <v>0.003366456726803017</v>
      </c>
    </row>
    <row r="121" spans="1:8" ht="15" customHeight="1">
      <c r="A121" s="251"/>
      <c r="B121" s="10">
        <v>4110</v>
      </c>
      <c r="C121" s="11" t="s">
        <v>81</v>
      </c>
      <c r="D121" s="158">
        <v>277600</v>
      </c>
      <c r="E121" s="142"/>
      <c r="F121" s="142"/>
      <c r="G121" s="159">
        <v>247000</v>
      </c>
      <c r="H121" s="93">
        <f t="shared" si="3"/>
        <v>0.006972870536858241</v>
      </c>
    </row>
    <row r="122" spans="1:8" ht="12.75" customHeight="1">
      <c r="A122" s="251"/>
      <c r="B122" s="10">
        <v>4120</v>
      </c>
      <c r="C122" s="11" t="s">
        <v>80</v>
      </c>
      <c r="D122" s="158">
        <v>40760</v>
      </c>
      <c r="E122" s="142"/>
      <c r="F122" s="142"/>
      <c r="G122" s="159">
        <v>39840</v>
      </c>
      <c r="H122" s="93">
        <f t="shared" si="3"/>
        <v>0.001124692964325637</v>
      </c>
    </row>
    <row r="123" spans="1:8" ht="12.75" customHeight="1">
      <c r="A123" s="251"/>
      <c r="B123" s="10">
        <v>4170</v>
      </c>
      <c r="C123" s="81" t="s">
        <v>217</v>
      </c>
      <c r="D123" s="158">
        <v>1500</v>
      </c>
      <c r="E123" s="142"/>
      <c r="F123" s="142"/>
      <c r="G123" s="159">
        <v>2500</v>
      </c>
      <c r="H123" s="93">
        <f t="shared" si="3"/>
        <v>7.057561272123725E-05</v>
      </c>
    </row>
    <row r="124" spans="1:8" ht="12.75" customHeight="1">
      <c r="A124" s="251"/>
      <c r="B124" s="10">
        <v>4140</v>
      </c>
      <c r="C124" s="225" t="s">
        <v>215</v>
      </c>
      <c r="D124" s="158">
        <v>7000</v>
      </c>
      <c r="E124" s="158"/>
      <c r="F124" s="158"/>
      <c r="G124" s="159">
        <v>10000</v>
      </c>
      <c r="H124" s="93">
        <f t="shared" si="3"/>
        <v>0.000282302450884949</v>
      </c>
    </row>
    <row r="125" spans="1:8" ht="12.75" customHeight="1">
      <c r="A125" s="251"/>
      <c r="B125" s="10">
        <v>4210</v>
      </c>
      <c r="C125" s="81" t="s">
        <v>64</v>
      </c>
      <c r="D125" s="158">
        <v>562430</v>
      </c>
      <c r="E125" s="142"/>
      <c r="F125" s="142"/>
      <c r="G125" s="159">
        <v>700000</v>
      </c>
      <c r="H125" s="93">
        <f t="shared" si="3"/>
        <v>0.01976117156194643</v>
      </c>
    </row>
    <row r="126" spans="1:8" ht="12.75" customHeight="1">
      <c r="A126" s="251"/>
      <c r="B126" s="10">
        <v>4230</v>
      </c>
      <c r="C126" s="11" t="s">
        <v>89</v>
      </c>
      <c r="D126" s="158">
        <v>100</v>
      </c>
      <c r="E126" s="142"/>
      <c r="F126" s="142"/>
      <c r="G126" s="159">
        <v>100</v>
      </c>
      <c r="H126" s="93">
        <f t="shared" si="3"/>
        <v>2.82302450884949E-06</v>
      </c>
    </row>
    <row r="127" spans="1:8" ht="12.75" customHeight="1">
      <c r="A127" s="251"/>
      <c r="B127" s="10">
        <v>4260</v>
      </c>
      <c r="C127" s="11" t="s">
        <v>126</v>
      </c>
      <c r="D127" s="158">
        <v>48000</v>
      </c>
      <c r="E127" s="142"/>
      <c r="F127" s="142"/>
      <c r="G127" s="159">
        <v>50000</v>
      </c>
      <c r="H127" s="93">
        <f t="shared" si="3"/>
        <v>0.0014115122544247451</v>
      </c>
    </row>
    <row r="128" spans="1:8" ht="12.75" customHeight="1">
      <c r="A128" s="251"/>
      <c r="B128" s="10">
        <v>4270</v>
      </c>
      <c r="C128" s="11" t="s">
        <v>127</v>
      </c>
      <c r="D128" s="158">
        <v>13500</v>
      </c>
      <c r="E128" s="142"/>
      <c r="F128" s="142"/>
      <c r="G128" s="159">
        <v>20000</v>
      </c>
      <c r="H128" s="93">
        <f t="shared" si="3"/>
        <v>0.000564604901769898</v>
      </c>
    </row>
    <row r="129" spans="1:8" ht="12.75" customHeight="1">
      <c r="A129" s="251"/>
      <c r="B129" s="10">
        <v>4280</v>
      </c>
      <c r="C129" s="11" t="s">
        <v>99</v>
      </c>
      <c r="D129" s="158">
        <v>500</v>
      </c>
      <c r="E129" s="142"/>
      <c r="F129" s="142"/>
      <c r="G129" s="159">
        <v>1000</v>
      </c>
      <c r="H129" s="93">
        <f t="shared" si="3"/>
        <v>2.82302450884949E-05</v>
      </c>
    </row>
    <row r="130" spans="1:8" ht="12.75" customHeight="1">
      <c r="A130" s="251"/>
      <c r="B130" s="10">
        <v>4300</v>
      </c>
      <c r="C130" s="11" t="s">
        <v>298</v>
      </c>
      <c r="D130" s="158">
        <v>155694</v>
      </c>
      <c r="E130" s="142"/>
      <c r="F130" s="142"/>
      <c r="G130" s="159">
        <v>230000</v>
      </c>
      <c r="H130" s="93">
        <f t="shared" si="3"/>
        <v>0.006492956370353828</v>
      </c>
    </row>
    <row r="131" spans="1:8" ht="24">
      <c r="A131" s="251"/>
      <c r="B131" s="10">
        <v>4350</v>
      </c>
      <c r="C131" s="11" t="s">
        <v>299</v>
      </c>
      <c r="D131" s="158">
        <v>3500</v>
      </c>
      <c r="E131" s="142"/>
      <c r="F131" s="142"/>
      <c r="G131" s="159">
        <v>3900</v>
      </c>
      <c r="H131" s="93">
        <f t="shared" si="3"/>
        <v>0.00011009795584513012</v>
      </c>
    </row>
    <row r="132" spans="1:8" ht="36">
      <c r="A132" s="251"/>
      <c r="B132" s="10">
        <v>4360</v>
      </c>
      <c r="C132" s="11" t="s">
        <v>291</v>
      </c>
      <c r="D132" s="158">
        <v>31000</v>
      </c>
      <c r="E132" s="142"/>
      <c r="F132" s="142"/>
      <c r="G132" s="159">
        <v>30000</v>
      </c>
      <c r="H132" s="93">
        <f t="shared" si="3"/>
        <v>0.0008469073526548471</v>
      </c>
    </row>
    <row r="133" spans="1:8" ht="36">
      <c r="A133" s="251"/>
      <c r="B133" s="10">
        <v>4370</v>
      </c>
      <c r="C133" s="11" t="s">
        <v>292</v>
      </c>
      <c r="D133" s="158">
        <v>29000</v>
      </c>
      <c r="E133" s="142"/>
      <c r="F133" s="142"/>
      <c r="G133" s="159">
        <v>30000</v>
      </c>
      <c r="H133" s="93">
        <f t="shared" si="3"/>
        <v>0.0008469073526548471</v>
      </c>
    </row>
    <row r="134" spans="1:8" ht="24">
      <c r="A134" s="251"/>
      <c r="B134" s="10">
        <v>4380</v>
      </c>
      <c r="C134" s="11" t="s">
        <v>269</v>
      </c>
      <c r="D134" s="158">
        <v>500</v>
      </c>
      <c r="E134" s="142"/>
      <c r="F134" s="142"/>
      <c r="G134" s="159">
        <v>500</v>
      </c>
      <c r="H134" s="93">
        <f t="shared" si="3"/>
        <v>1.411512254424745E-05</v>
      </c>
    </row>
    <row r="135" spans="1:8" ht="24">
      <c r="A135" s="251"/>
      <c r="B135" s="10">
        <v>4400</v>
      </c>
      <c r="C135" s="11" t="s">
        <v>251</v>
      </c>
      <c r="D135" s="158">
        <v>12000</v>
      </c>
      <c r="E135" s="142"/>
      <c r="F135" s="142"/>
      <c r="G135" s="159">
        <v>12400</v>
      </c>
      <c r="H135" s="93">
        <f t="shared" si="3"/>
        <v>0.0003500550390973368</v>
      </c>
    </row>
    <row r="136" spans="1:8" ht="12.75" customHeight="1">
      <c r="A136" s="251"/>
      <c r="B136" s="10">
        <v>4410</v>
      </c>
      <c r="C136" s="11" t="s">
        <v>67</v>
      </c>
      <c r="D136" s="158">
        <v>25000</v>
      </c>
      <c r="E136" s="142"/>
      <c r="F136" s="142"/>
      <c r="G136" s="159">
        <v>25000</v>
      </c>
      <c r="H136" s="93">
        <f t="shared" si="3"/>
        <v>0.0007057561272123726</v>
      </c>
    </row>
    <row r="137" spans="1:8" ht="12.75" customHeight="1">
      <c r="A137" s="251"/>
      <c r="B137" s="10">
        <v>4430</v>
      </c>
      <c r="C137" s="11" t="s">
        <v>78</v>
      </c>
      <c r="D137" s="158">
        <v>7440</v>
      </c>
      <c r="E137" s="142"/>
      <c r="F137" s="142"/>
      <c r="G137" s="159">
        <v>10000</v>
      </c>
      <c r="H137" s="93">
        <f t="shared" si="3"/>
        <v>0.000282302450884949</v>
      </c>
    </row>
    <row r="138" spans="1:8" ht="12.75" customHeight="1">
      <c r="A138" s="251"/>
      <c r="B138" s="10">
        <v>4440</v>
      </c>
      <c r="C138" s="11" t="s">
        <v>69</v>
      </c>
      <c r="D138" s="158">
        <v>38455</v>
      </c>
      <c r="E138" s="142"/>
      <c r="F138" s="142"/>
      <c r="G138" s="159">
        <v>37782</v>
      </c>
      <c r="H138" s="93">
        <f t="shared" si="3"/>
        <v>0.0010665951199335143</v>
      </c>
    </row>
    <row r="139" spans="1:8" ht="12.75" customHeight="1">
      <c r="A139" s="251"/>
      <c r="B139" s="10">
        <v>4480</v>
      </c>
      <c r="C139" s="11" t="s">
        <v>70</v>
      </c>
      <c r="D139" s="158">
        <v>6250</v>
      </c>
      <c r="E139" s="142"/>
      <c r="F139" s="142"/>
      <c r="G139" s="159">
        <v>6250</v>
      </c>
      <c r="H139" s="93">
        <f t="shared" si="3"/>
        <v>0.00017643903180309314</v>
      </c>
    </row>
    <row r="140" spans="1:8" ht="36">
      <c r="A140" s="251"/>
      <c r="B140" s="45">
        <v>4700</v>
      </c>
      <c r="C140" s="11" t="s">
        <v>249</v>
      </c>
      <c r="D140" s="136">
        <v>17000</v>
      </c>
      <c r="E140" s="137"/>
      <c r="F140" s="137"/>
      <c r="G140" s="138">
        <v>17000</v>
      </c>
      <c r="H140" s="93">
        <f t="shared" si="3"/>
        <v>0.00047991416650441335</v>
      </c>
    </row>
    <row r="141" spans="1:8" ht="36">
      <c r="A141" s="251"/>
      <c r="B141" s="45">
        <v>4740</v>
      </c>
      <c r="C141" s="46" t="s">
        <v>246</v>
      </c>
      <c r="D141" s="136">
        <v>9000</v>
      </c>
      <c r="E141" s="137"/>
      <c r="F141" s="137"/>
      <c r="G141" s="138">
        <v>15000</v>
      </c>
      <c r="H141" s="93">
        <f t="shared" si="3"/>
        <v>0.00042345367632742355</v>
      </c>
    </row>
    <row r="142" spans="1:8" ht="36">
      <c r="A142" s="251"/>
      <c r="B142" s="45">
        <v>4750</v>
      </c>
      <c r="C142" s="11" t="s">
        <v>310</v>
      </c>
      <c r="D142" s="136">
        <v>10000</v>
      </c>
      <c r="E142" s="137"/>
      <c r="F142" s="137"/>
      <c r="G142" s="138">
        <v>12000</v>
      </c>
      <c r="H142" s="93">
        <f t="shared" si="3"/>
        <v>0.0003387629410619388</v>
      </c>
    </row>
    <row r="143" spans="1:8" ht="24">
      <c r="A143" s="251"/>
      <c r="B143" s="71" t="s">
        <v>84</v>
      </c>
      <c r="C143" s="46" t="s">
        <v>263</v>
      </c>
      <c r="D143" s="136">
        <v>77000</v>
      </c>
      <c r="E143" s="137"/>
      <c r="F143" s="137"/>
      <c r="G143" s="138">
        <v>20000</v>
      </c>
      <c r="H143" s="93">
        <f t="shared" si="3"/>
        <v>0.000564604901769898</v>
      </c>
    </row>
    <row r="144" spans="1:8" ht="72.75" thickBot="1">
      <c r="A144" s="251"/>
      <c r="B144" s="71" t="s">
        <v>322</v>
      </c>
      <c r="C144" s="46" t="s">
        <v>323</v>
      </c>
      <c r="D144" s="136">
        <v>0</v>
      </c>
      <c r="E144" s="137"/>
      <c r="F144" s="137"/>
      <c r="G144" s="138">
        <v>43150</v>
      </c>
      <c r="H144" s="93">
        <f t="shared" si="3"/>
        <v>0.001218135075568555</v>
      </c>
    </row>
    <row r="145" spans="1:8" ht="15" customHeight="1" thickBot="1" thickTop="1">
      <c r="A145" s="228" t="s">
        <v>30</v>
      </c>
      <c r="B145" s="229"/>
      <c r="C145" s="229"/>
      <c r="D145" s="139">
        <f>SUM(D117:D144)</f>
        <v>2948767</v>
      </c>
      <c r="E145" s="139">
        <f>SUM(E117:E144)</f>
        <v>0</v>
      </c>
      <c r="F145" s="139">
        <f>SUM(F117:F144)</f>
        <v>0</v>
      </c>
      <c r="G145" s="140">
        <f>SUM(G117:G144)</f>
        <v>3202470</v>
      </c>
      <c r="H145" s="91">
        <f>G145/G623</f>
        <v>0.09040651298855226</v>
      </c>
    </row>
    <row r="146" spans="1:8" ht="14.25" customHeight="1" thickTop="1">
      <c r="A146" s="270">
        <v>75045</v>
      </c>
      <c r="B146" s="235" t="s">
        <v>8</v>
      </c>
      <c r="C146" s="236"/>
      <c r="D146" s="236"/>
      <c r="E146" s="236"/>
      <c r="F146" s="236"/>
      <c r="G146" s="236"/>
      <c r="H146" s="237"/>
    </row>
    <row r="147" spans="1:8" ht="12.75" customHeight="1">
      <c r="A147" s="232"/>
      <c r="B147" s="10">
        <v>4210</v>
      </c>
      <c r="C147" s="11" t="s">
        <v>64</v>
      </c>
      <c r="D147" s="158">
        <v>6000</v>
      </c>
      <c r="E147" s="142"/>
      <c r="F147" s="142"/>
      <c r="G147" s="159">
        <v>7300</v>
      </c>
      <c r="H147" s="93">
        <f>G147/G623</f>
        <v>0.00020608078914601278</v>
      </c>
    </row>
    <row r="148" spans="1:8" ht="12.75" customHeight="1" thickBot="1">
      <c r="A148" s="232"/>
      <c r="B148" s="10">
        <v>4300</v>
      </c>
      <c r="C148" s="11" t="s">
        <v>79</v>
      </c>
      <c r="D148" s="158">
        <v>35000</v>
      </c>
      <c r="E148" s="142"/>
      <c r="F148" s="142"/>
      <c r="G148" s="159">
        <v>36000</v>
      </c>
      <c r="H148" s="93">
        <f>G148/G623</f>
        <v>0.0010162888231858166</v>
      </c>
    </row>
    <row r="149" spans="1:8" ht="15" customHeight="1" thickBot="1" thickTop="1">
      <c r="A149" s="228" t="s">
        <v>29</v>
      </c>
      <c r="B149" s="229"/>
      <c r="C149" s="229"/>
      <c r="D149" s="139">
        <f>SUM(D147:D148)</f>
        <v>41000</v>
      </c>
      <c r="E149" s="139">
        <f>SUM(E147:E148)</f>
        <v>0</v>
      </c>
      <c r="F149" s="139">
        <f>SUM(F147:F148)</f>
        <v>0</v>
      </c>
      <c r="G149" s="140">
        <f>SUM(G147:G148)</f>
        <v>43300</v>
      </c>
      <c r="H149" s="91">
        <f>G149/G623</f>
        <v>0.0012223696123318292</v>
      </c>
    </row>
    <row r="150" spans="1:8" ht="15" customHeight="1" thickTop="1">
      <c r="A150" s="253">
        <v>75075</v>
      </c>
      <c r="B150" s="262" t="s">
        <v>234</v>
      </c>
      <c r="C150" s="274"/>
      <c r="D150" s="274"/>
      <c r="E150" s="274"/>
      <c r="F150" s="274"/>
      <c r="G150" s="274"/>
      <c r="H150" s="275"/>
    </row>
    <row r="151" spans="1:8" ht="48">
      <c r="A151" s="232"/>
      <c r="B151" s="10">
        <v>2310</v>
      </c>
      <c r="C151" s="11" t="s">
        <v>137</v>
      </c>
      <c r="D151" s="158">
        <v>300</v>
      </c>
      <c r="E151" s="142"/>
      <c r="F151" s="142"/>
      <c r="G151" s="159">
        <v>0</v>
      </c>
      <c r="H151" s="93">
        <f>G151/$G$623</f>
        <v>0</v>
      </c>
    </row>
    <row r="152" spans="1:8" ht="36">
      <c r="A152" s="232"/>
      <c r="B152" s="10">
        <v>2820</v>
      </c>
      <c r="C152" s="11" t="s">
        <v>223</v>
      </c>
      <c r="D152" s="167">
        <v>3700</v>
      </c>
      <c r="E152" s="142"/>
      <c r="F152" s="142"/>
      <c r="G152" s="159">
        <v>7200</v>
      </c>
      <c r="H152" s="93">
        <f>G152/$G$623</f>
        <v>0.0002032577646371633</v>
      </c>
    </row>
    <row r="153" spans="1:8" ht="12.75">
      <c r="A153" s="232"/>
      <c r="B153" s="10">
        <v>4170</v>
      </c>
      <c r="C153" s="81" t="s">
        <v>217</v>
      </c>
      <c r="D153" s="167">
        <v>2123</v>
      </c>
      <c r="E153" s="142"/>
      <c r="F153" s="142"/>
      <c r="G153" s="159">
        <v>0</v>
      </c>
      <c r="H153" s="93">
        <f>G153/$G$623</f>
        <v>0</v>
      </c>
    </row>
    <row r="154" spans="1:8" ht="15" customHeight="1">
      <c r="A154" s="232"/>
      <c r="B154" s="10">
        <v>4210</v>
      </c>
      <c r="C154" s="11" t="s">
        <v>64</v>
      </c>
      <c r="D154" s="168">
        <v>9000</v>
      </c>
      <c r="E154" s="142"/>
      <c r="F154" s="142"/>
      <c r="G154" s="159">
        <v>8000</v>
      </c>
      <c r="H154" s="93">
        <f>G154/$G$623</f>
        <v>0.0002258419607079592</v>
      </c>
    </row>
    <row r="155" spans="1:8" ht="15" customHeight="1" thickBot="1">
      <c r="A155" s="232"/>
      <c r="B155" s="10">
        <v>4300</v>
      </c>
      <c r="C155" s="11" t="s">
        <v>79</v>
      </c>
      <c r="D155" s="158">
        <v>5077</v>
      </c>
      <c r="E155" s="142"/>
      <c r="F155" s="142"/>
      <c r="G155" s="159">
        <v>6000</v>
      </c>
      <c r="H155" s="93">
        <f>G155/$G$623</f>
        <v>0.0001693814705309694</v>
      </c>
    </row>
    <row r="156" spans="1:8" ht="15" customHeight="1" thickBot="1" thickTop="1">
      <c r="A156" s="228" t="s">
        <v>235</v>
      </c>
      <c r="B156" s="229"/>
      <c r="C156" s="229"/>
      <c r="D156" s="139">
        <f>SUM(D151:D155)</f>
        <v>20200</v>
      </c>
      <c r="E156" s="139">
        <f>SUM(E151:E155)</f>
        <v>0</v>
      </c>
      <c r="F156" s="139">
        <f>SUM(F151:F155)</f>
        <v>0</v>
      </c>
      <c r="G156" s="139">
        <f>SUM(G151:G155)</f>
        <v>21200</v>
      </c>
      <c r="H156" s="91">
        <f>G156/G623</f>
        <v>0.0005984811958760919</v>
      </c>
    </row>
    <row r="157" spans="1:8" ht="16.5" customHeight="1" thickBot="1" thickTop="1">
      <c r="A157" s="230" t="s">
        <v>52</v>
      </c>
      <c r="B157" s="231"/>
      <c r="C157" s="231"/>
      <c r="D157" s="135">
        <f>D149+D145+D115+D102+D156</f>
        <v>3373267</v>
      </c>
      <c r="E157" s="135" t="e">
        <f>E102+E145+E149+#REF!+E115+E156</f>
        <v>#REF!</v>
      </c>
      <c r="F157" s="135" t="e">
        <f>F102+F145+F149+#REF!+F115+F156</f>
        <v>#REF!</v>
      </c>
      <c r="G157" s="135">
        <f>G102+G145+G149+G115+G156</f>
        <v>3646178</v>
      </c>
      <c r="H157" s="92">
        <f>G157/G623</f>
        <v>0.10293249857627816</v>
      </c>
    </row>
    <row r="158" spans="1:8" ht="16.5" customHeight="1" thickBot="1" thickTop="1">
      <c r="A158" s="238" t="s">
        <v>241</v>
      </c>
      <c r="B158" s="239"/>
      <c r="C158" s="239"/>
      <c r="D158" s="239"/>
      <c r="E158" s="239"/>
      <c r="F158" s="239"/>
      <c r="G158" s="239"/>
      <c r="H158" s="240"/>
    </row>
    <row r="159" spans="1:8" ht="45" customHeight="1" thickTop="1">
      <c r="A159" s="276">
        <v>75109</v>
      </c>
      <c r="B159" s="277" t="s">
        <v>242</v>
      </c>
      <c r="C159" s="278"/>
      <c r="D159" s="278"/>
      <c r="E159" s="278"/>
      <c r="F159" s="278"/>
      <c r="G159" s="278"/>
      <c r="H159" s="279"/>
    </row>
    <row r="160" spans="1:8" ht="16.5" customHeight="1" thickBot="1">
      <c r="A160" s="227"/>
      <c r="B160" s="111">
        <v>4300</v>
      </c>
      <c r="C160" s="20" t="s">
        <v>79</v>
      </c>
      <c r="D160" s="169">
        <v>130</v>
      </c>
      <c r="E160" s="170"/>
      <c r="F160" s="170"/>
      <c r="G160" s="171">
        <v>0</v>
      </c>
      <c r="H160" s="110">
        <f>G160/D160</f>
        <v>0</v>
      </c>
    </row>
    <row r="161" spans="1:8" ht="16.5" customHeight="1" thickBot="1" thickTop="1">
      <c r="A161" s="228" t="s">
        <v>243</v>
      </c>
      <c r="B161" s="229"/>
      <c r="C161" s="229"/>
      <c r="D161" s="155">
        <f>SUM(D160:D160)</f>
        <v>130</v>
      </c>
      <c r="E161" s="155">
        <f>SUM(E160:E160)</f>
        <v>0</v>
      </c>
      <c r="F161" s="155">
        <f>SUM(F160:F160)</f>
        <v>0</v>
      </c>
      <c r="G161" s="155">
        <f>SUM(G160:G160)</f>
        <v>0</v>
      </c>
      <c r="H161" s="91">
        <f>G161/D161</f>
        <v>0</v>
      </c>
    </row>
    <row r="162" spans="1:8" ht="16.5" customHeight="1" thickBot="1" thickTop="1">
      <c r="A162" s="230" t="s">
        <v>244</v>
      </c>
      <c r="B162" s="231"/>
      <c r="C162" s="231"/>
      <c r="D162" s="135">
        <f>SUM(D161)</f>
        <v>130</v>
      </c>
      <c r="E162" s="135">
        <f>SUM(E161)</f>
        <v>0</v>
      </c>
      <c r="F162" s="135">
        <f>SUM(F161)</f>
        <v>0</v>
      </c>
      <c r="G162" s="135">
        <f>SUM(G161)</f>
        <v>0</v>
      </c>
      <c r="H162" s="92">
        <f>G162/D162</f>
        <v>0</v>
      </c>
    </row>
    <row r="163" spans="1:8" ht="21" thickBot="1" thickTop="1">
      <c r="A163" s="271" t="s">
        <v>32</v>
      </c>
      <c r="B163" s="272"/>
      <c r="C163" s="272"/>
      <c r="D163" s="272"/>
      <c r="E163" s="272"/>
      <c r="F163" s="272"/>
      <c r="G163" s="272"/>
      <c r="H163" s="273"/>
    </row>
    <row r="164" spans="1:8" ht="15" customHeight="1" thickTop="1">
      <c r="A164" s="250">
        <v>75411</v>
      </c>
      <c r="B164" s="261" t="s">
        <v>9</v>
      </c>
      <c r="C164" s="261"/>
      <c r="D164" s="261"/>
      <c r="E164" s="261"/>
      <c r="F164" s="261"/>
      <c r="G164" s="262"/>
      <c r="H164" s="88"/>
    </row>
    <row r="165" spans="1:8" ht="36">
      <c r="A165" s="251"/>
      <c r="B165" s="13">
        <v>3070</v>
      </c>
      <c r="C165" s="14" t="s">
        <v>256</v>
      </c>
      <c r="D165" s="158">
        <v>122638</v>
      </c>
      <c r="E165" s="142"/>
      <c r="F165" s="142"/>
      <c r="G165" s="159">
        <v>160900</v>
      </c>
      <c r="H165" s="93">
        <f>G165/$G$623</f>
        <v>0.00454224643473883</v>
      </c>
    </row>
    <row r="166" spans="1:8" ht="24">
      <c r="A166" s="251"/>
      <c r="B166" s="10">
        <v>4010</v>
      </c>
      <c r="C166" s="11" t="s">
        <v>62</v>
      </c>
      <c r="D166" s="158">
        <v>18090</v>
      </c>
      <c r="E166" s="142"/>
      <c r="F166" s="142"/>
      <c r="G166" s="159">
        <v>18506</v>
      </c>
      <c r="H166" s="93">
        <f aca="true" t="shared" si="4" ref="H166:H193">G166/$G$623</f>
        <v>0.0005224289156076867</v>
      </c>
    </row>
    <row r="167" spans="1:8" ht="24">
      <c r="A167" s="251"/>
      <c r="B167" s="10">
        <v>4020</v>
      </c>
      <c r="C167" s="11" t="s">
        <v>270</v>
      </c>
      <c r="D167" s="158">
        <v>16832</v>
      </c>
      <c r="E167" s="142"/>
      <c r="F167" s="142"/>
      <c r="G167" s="159">
        <v>31560</v>
      </c>
      <c r="H167" s="93">
        <f t="shared" si="4"/>
        <v>0.0008909465349928991</v>
      </c>
    </row>
    <row r="168" spans="1:8" ht="12.75" customHeight="1">
      <c r="A168" s="251"/>
      <c r="B168" s="10">
        <v>4040</v>
      </c>
      <c r="C168" s="11" t="s">
        <v>82</v>
      </c>
      <c r="D168" s="158">
        <v>637</v>
      </c>
      <c r="E168" s="142"/>
      <c r="F168" s="142"/>
      <c r="G168" s="159">
        <v>4160</v>
      </c>
      <c r="H168" s="93">
        <f t="shared" si="4"/>
        <v>0.0001174378195681388</v>
      </c>
    </row>
    <row r="169" spans="1:8" ht="24">
      <c r="A169" s="251"/>
      <c r="B169" s="10">
        <v>4050</v>
      </c>
      <c r="C169" s="11" t="s">
        <v>300</v>
      </c>
      <c r="D169" s="158">
        <v>1351129</v>
      </c>
      <c r="E169" s="142"/>
      <c r="F169" s="142"/>
      <c r="G169" s="159">
        <v>1581360</v>
      </c>
      <c r="H169" s="93">
        <f t="shared" si="4"/>
        <v>0.0446421803731423</v>
      </c>
    </row>
    <row r="170" spans="1:8" ht="36">
      <c r="A170" s="251"/>
      <c r="B170" s="10">
        <v>4060</v>
      </c>
      <c r="C170" s="11" t="s">
        <v>301</v>
      </c>
      <c r="D170" s="158">
        <v>105600</v>
      </c>
      <c r="E170" s="142"/>
      <c r="F170" s="142"/>
      <c r="G170" s="159">
        <v>80400</v>
      </c>
      <c r="H170" s="93">
        <f t="shared" si="4"/>
        <v>0.00226971170511499</v>
      </c>
    </row>
    <row r="171" spans="1:8" ht="48">
      <c r="A171" s="251"/>
      <c r="B171" s="10">
        <v>4070</v>
      </c>
      <c r="C171" s="11" t="s">
        <v>302</v>
      </c>
      <c r="D171" s="158">
        <v>102401</v>
      </c>
      <c r="E171" s="142"/>
      <c r="F171" s="142"/>
      <c r="G171" s="159">
        <v>131730</v>
      </c>
      <c r="H171" s="93">
        <f t="shared" si="4"/>
        <v>0.0037187701855074333</v>
      </c>
    </row>
    <row r="172" spans="1:8" ht="16.5" customHeight="1">
      <c r="A172" s="251"/>
      <c r="B172" s="10">
        <v>4110</v>
      </c>
      <c r="C172" s="11" t="s">
        <v>81</v>
      </c>
      <c r="D172" s="158">
        <v>6509</v>
      </c>
      <c r="E172" s="142"/>
      <c r="F172" s="142"/>
      <c r="G172" s="159">
        <v>7722</v>
      </c>
      <c r="H172" s="93">
        <f t="shared" si="4"/>
        <v>0.00021799395257335763</v>
      </c>
    </row>
    <row r="173" spans="1:8" ht="12.75" customHeight="1">
      <c r="A173" s="251"/>
      <c r="B173" s="10">
        <v>4120</v>
      </c>
      <c r="C173" s="11" t="s">
        <v>80</v>
      </c>
      <c r="D173" s="158">
        <v>716</v>
      </c>
      <c r="E173" s="142"/>
      <c r="F173" s="142"/>
      <c r="G173" s="159">
        <v>1329</v>
      </c>
      <c r="H173" s="93">
        <f t="shared" si="4"/>
        <v>3.7517995722609725E-05</v>
      </c>
    </row>
    <row r="174" spans="1:8" ht="12.75" customHeight="1">
      <c r="A174" s="251"/>
      <c r="B174" s="10">
        <v>4170</v>
      </c>
      <c r="C174" s="11" t="s">
        <v>192</v>
      </c>
      <c r="D174" s="158">
        <v>1800</v>
      </c>
      <c r="E174" s="142"/>
      <c r="F174" s="142"/>
      <c r="G174" s="159">
        <v>1800</v>
      </c>
      <c r="H174" s="93">
        <f t="shared" si="4"/>
        <v>5.0814441159290825E-05</v>
      </c>
    </row>
    <row r="175" spans="1:8" ht="24">
      <c r="A175" s="251"/>
      <c r="B175" s="10">
        <v>4180</v>
      </c>
      <c r="C175" s="11" t="s">
        <v>303</v>
      </c>
      <c r="D175" s="158">
        <v>75738</v>
      </c>
      <c r="E175" s="142"/>
      <c r="F175" s="142"/>
      <c r="G175" s="159">
        <v>95400</v>
      </c>
      <c r="H175" s="93">
        <f t="shared" si="4"/>
        <v>0.0026931653814424136</v>
      </c>
    </row>
    <row r="176" spans="1:8" ht="12.75" customHeight="1">
      <c r="A176" s="251"/>
      <c r="B176" s="10">
        <v>4210</v>
      </c>
      <c r="C176" s="11" t="s">
        <v>64</v>
      </c>
      <c r="D176" s="158">
        <v>114029</v>
      </c>
      <c r="E176" s="142"/>
      <c r="F176" s="142"/>
      <c r="G176" s="159">
        <v>75220</v>
      </c>
      <c r="H176" s="93">
        <f t="shared" si="4"/>
        <v>0.0021234790355565865</v>
      </c>
    </row>
    <row r="177" spans="1:8" ht="12.75" customHeight="1">
      <c r="A177" s="251"/>
      <c r="B177" s="10">
        <v>4230</v>
      </c>
      <c r="C177" s="11" t="s">
        <v>89</v>
      </c>
      <c r="D177" s="158">
        <v>100</v>
      </c>
      <c r="E177" s="142"/>
      <c r="F177" s="142"/>
      <c r="G177" s="159">
        <v>500</v>
      </c>
      <c r="H177" s="93">
        <f t="shared" si="4"/>
        <v>1.411512254424745E-05</v>
      </c>
    </row>
    <row r="178" spans="1:8" ht="12.75" customHeight="1">
      <c r="A178" s="251"/>
      <c r="B178" s="10">
        <v>4250</v>
      </c>
      <c r="C178" s="11" t="s">
        <v>271</v>
      </c>
      <c r="D178" s="158">
        <v>59882</v>
      </c>
      <c r="E178" s="142"/>
      <c r="F178" s="142"/>
      <c r="G178" s="159">
        <v>20000</v>
      </c>
      <c r="H178" s="93">
        <f t="shared" si="4"/>
        <v>0.000564604901769898</v>
      </c>
    </row>
    <row r="179" spans="1:8" ht="12.75" customHeight="1">
      <c r="A179" s="251"/>
      <c r="B179" s="10">
        <v>4260</v>
      </c>
      <c r="C179" s="11" t="s">
        <v>126</v>
      </c>
      <c r="D179" s="158">
        <v>35000</v>
      </c>
      <c r="E179" s="142"/>
      <c r="F179" s="142"/>
      <c r="G179" s="159">
        <v>38000</v>
      </c>
      <c r="H179" s="93">
        <f t="shared" si="4"/>
        <v>0.0010727493133628062</v>
      </c>
    </row>
    <row r="180" spans="1:8" ht="12.75" customHeight="1">
      <c r="A180" s="251"/>
      <c r="B180" s="10">
        <v>4270</v>
      </c>
      <c r="C180" s="11" t="s">
        <v>127</v>
      </c>
      <c r="D180" s="158">
        <v>11500</v>
      </c>
      <c r="E180" s="142"/>
      <c r="F180" s="142"/>
      <c r="G180" s="159">
        <v>5000</v>
      </c>
      <c r="H180" s="93">
        <f t="shared" si="4"/>
        <v>0.0001411512254424745</v>
      </c>
    </row>
    <row r="181" spans="1:8" ht="12.75" customHeight="1">
      <c r="A181" s="251"/>
      <c r="B181" s="10">
        <v>4280</v>
      </c>
      <c r="C181" s="11" t="s">
        <v>99</v>
      </c>
      <c r="D181" s="158">
        <v>6400</v>
      </c>
      <c r="E181" s="142"/>
      <c r="F181" s="142"/>
      <c r="G181" s="159">
        <v>6000</v>
      </c>
      <c r="H181" s="93">
        <f t="shared" si="4"/>
        <v>0.0001693814705309694</v>
      </c>
    </row>
    <row r="182" spans="1:8" ht="12.75" customHeight="1">
      <c r="A182" s="251"/>
      <c r="B182" s="10">
        <v>4300</v>
      </c>
      <c r="C182" s="11" t="s">
        <v>79</v>
      </c>
      <c r="D182" s="158">
        <v>33000</v>
      </c>
      <c r="E182" s="142"/>
      <c r="F182" s="142"/>
      <c r="G182" s="159">
        <v>30000</v>
      </c>
      <c r="H182" s="93">
        <f t="shared" si="4"/>
        <v>0.0008469073526548471</v>
      </c>
    </row>
    <row r="183" spans="1:8" ht="24">
      <c r="A183" s="251"/>
      <c r="B183" s="10">
        <v>4350</v>
      </c>
      <c r="C183" s="11" t="s">
        <v>299</v>
      </c>
      <c r="D183" s="158">
        <v>3353</v>
      </c>
      <c r="E183" s="142"/>
      <c r="F183" s="142"/>
      <c r="G183" s="159">
        <v>3500</v>
      </c>
      <c r="H183" s="93">
        <f t="shared" si="4"/>
        <v>9.880585780973216E-05</v>
      </c>
    </row>
    <row r="184" spans="1:8" ht="36">
      <c r="A184" s="251"/>
      <c r="B184" s="10">
        <v>4360</v>
      </c>
      <c r="C184" s="11" t="s">
        <v>272</v>
      </c>
      <c r="D184" s="158">
        <v>3300</v>
      </c>
      <c r="E184" s="142"/>
      <c r="F184" s="142"/>
      <c r="G184" s="159">
        <v>4000</v>
      </c>
      <c r="H184" s="93">
        <f t="shared" si="4"/>
        <v>0.0001129209803539796</v>
      </c>
    </row>
    <row r="185" spans="1:8" ht="36">
      <c r="A185" s="251"/>
      <c r="B185" s="10">
        <v>4370</v>
      </c>
      <c r="C185" s="11" t="s">
        <v>311</v>
      </c>
      <c r="D185" s="158">
        <v>5200</v>
      </c>
      <c r="E185" s="142"/>
      <c r="F185" s="142"/>
      <c r="G185" s="159">
        <v>6000</v>
      </c>
      <c r="H185" s="93">
        <f t="shared" si="4"/>
        <v>0.0001693814705309694</v>
      </c>
    </row>
    <row r="186" spans="1:8" ht="12.75" customHeight="1">
      <c r="A186" s="251"/>
      <c r="B186" s="10">
        <v>4410</v>
      </c>
      <c r="C186" s="11" t="s">
        <v>67</v>
      </c>
      <c r="D186" s="158">
        <v>0</v>
      </c>
      <c r="E186" s="142"/>
      <c r="F186" s="142"/>
      <c r="G186" s="159">
        <v>1000</v>
      </c>
      <c r="H186" s="93">
        <f t="shared" si="4"/>
        <v>2.82302450884949E-05</v>
      </c>
    </row>
    <row r="187" spans="1:8" ht="12.75" customHeight="1">
      <c r="A187" s="251"/>
      <c r="B187" s="10">
        <v>4430</v>
      </c>
      <c r="C187" s="11" t="s">
        <v>78</v>
      </c>
      <c r="D187" s="158">
        <v>600</v>
      </c>
      <c r="E187" s="142"/>
      <c r="F187" s="142"/>
      <c r="G187" s="159">
        <v>2000</v>
      </c>
      <c r="H187" s="93">
        <f t="shared" si="4"/>
        <v>5.64604901769898E-05</v>
      </c>
    </row>
    <row r="188" spans="1:8" ht="12.75" customHeight="1">
      <c r="A188" s="251"/>
      <c r="B188" s="10">
        <v>4440</v>
      </c>
      <c r="C188" s="11" t="s">
        <v>69</v>
      </c>
      <c r="D188" s="158">
        <v>1389</v>
      </c>
      <c r="E188" s="142"/>
      <c r="F188" s="142"/>
      <c r="G188" s="159">
        <v>1913</v>
      </c>
      <c r="H188" s="93">
        <f t="shared" si="4"/>
        <v>5.4004458854290745E-05</v>
      </c>
    </row>
    <row r="189" spans="1:8" ht="12.75" customHeight="1">
      <c r="A189" s="251"/>
      <c r="B189" s="10">
        <v>4480</v>
      </c>
      <c r="C189" s="11" t="s">
        <v>130</v>
      </c>
      <c r="D189" s="158">
        <v>0</v>
      </c>
      <c r="E189" s="142"/>
      <c r="F189" s="142"/>
      <c r="G189" s="159">
        <v>8000</v>
      </c>
      <c r="H189" s="93">
        <f t="shared" si="4"/>
        <v>0.0002258419607079592</v>
      </c>
    </row>
    <row r="190" spans="1:8" ht="12.75" customHeight="1">
      <c r="A190" s="251"/>
      <c r="B190" s="71" t="s">
        <v>91</v>
      </c>
      <c r="C190" s="46" t="s">
        <v>92</v>
      </c>
      <c r="D190" s="136">
        <v>657</v>
      </c>
      <c r="E190" s="137"/>
      <c r="F190" s="137"/>
      <c r="G190" s="138">
        <v>1000</v>
      </c>
      <c r="H190" s="93">
        <f t="shared" si="4"/>
        <v>2.82302450884949E-05</v>
      </c>
    </row>
    <row r="191" spans="1:8" ht="36">
      <c r="A191" s="251"/>
      <c r="B191" s="40" t="s">
        <v>247</v>
      </c>
      <c r="C191" s="11" t="s">
        <v>246</v>
      </c>
      <c r="D191" s="158">
        <v>600</v>
      </c>
      <c r="E191" s="142"/>
      <c r="F191" s="142"/>
      <c r="G191" s="159">
        <v>1000</v>
      </c>
      <c r="H191" s="93">
        <f t="shared" si="4"/>
        <v>2.82302450884949E-05</v>
      </c>
    </row>
    <row r="192" spans="1:8" ht="36">
      <c r="A192" s="251"/>
      <c r="B192" s="40" t="s">
        <v>248</v>
      </c>
      <c r="C192" s="11" t="s">
        <v>310</v>
      </c>
      <c r="D192" s="158">
        <v>8000</v>
      </c>
      <c r="E192" s="142"/>
      <c r="F192" s="142"/>
      <c r="G192" s="158">
        <v>4000</v>
      </c>
      <c r="H192" s="93">
        <f t="shared" si="4"/>
        <v>0.0001129209803539796</v>
      </c>
    </row>
    <row r="193" spans="1:8" ht="24.75" thickBot="1">
      <c r="A193" s="252"/>
      <c r="B193" s="113" t="s">
        <v>282</v>
      </c>
      <c r="C193" s="80" t="s">
        <v>283</v>
      </c>
      <c r="D193" s="172">
        <v>300000</v>
      </c>
      <c r="E193" s="173"/>
      <c r="F193" s="173"/>
      <c r="G193" s="174">
        <v>0</v>
      </c>
      <c r="H193" s="93">
        <f t="shared" si="4"/>
        <v>0</v>
      </c>
    </row>
    <row r="194" spans="1:9" ht="15" thickBot="1" thickTop="1">
      <c r="A194" s="228" t="s">
        <v>31</v>
      </c>
      <c r="B194" s="229"/>
      <c r="C194" s="229"/>
      <c r="D194" s="139">
        <f>SUM(D165:D193)</f>
        <v>2385100</v>
      </c>
      <c r="E194" s="139">
        <f>SUM(E165:E190)</f>
        <v>0</v>
      </c>
      <c r="F194" s="139">
        <f>SUM(F165:F190)</f>
        <v>0</v>
      </c>
      <c r="G194" s="140">
        <f>SUM(G165:G193)</f>
        <v>2322000</v>
      </c>
      <c r="H194" s="91">
        <f>G194/G623</f>
        <v>0.06555062909548516</v>
      </c>
      <c r="I194" t="s">
        <v>236</v>
      </c>
    </row>
    <row r="195" spans="1:8" ht="16.5" thickBot="1" thickTop="1">
      <c r="A195" s="230" t="s">
        <v>59</v>
      </c>
      <c r="B195" s="231"/>
      <c r="C195" s="231"/>
      <c r="D195" s="135">
        <f>D194</f>
        <v>2385100</v>
      </c>
      <c r="E195" s="135">
        <f>E194</f>
        <v>0</v>
      </c>
      <c r="F195" s="135">
        <f>F194</f>
        <v>0</v>
      </c>
      <c r="G195" s="135">
        <f>G194</f>
        <v>2322000</v>
      </c>
      <c r="H195" s="92">
        <f>G195/G623</f>
        <v>0.06555062909548516</v>
      </c>
    </row>
    <row r="196" spans="1:8" ht="19.5" customHeight="1" thickBot="1" thickTop="1">
      <c r="A196" s="238" t="s">
        <v>94</v>
      </c>
      <c r="B196" s="239"/>
      <c r="C196" s="239"/>
      <c r="D196" s="239"/>
      <c r="E196" s="239"/>
      <c r="F196" s="239"/>
      <c r="G196" s="239"/>
      <c r="H196" s="240"/>
    </row>
    <row r="197" spans="1:8" ht="14.25" thickTop="1">
      <c r="A197" s="233">
        <v>75702</v>
      </c>
      <c r="B197" s="241" t="s">
        <v>257</v>
      </c>
      <c r="C197" s="242"/>
      <c r="D197" s="242"/>
      <c r="E197" s="242"/>
      <c r="F197" s="242"/>
      <c r="G197" s="242"/>
      <c r="H197" s="243"/>
    </row>
    <row r="198" spans="1:9" ht="36.75" thickBot="1">
      <c r="A198" s="234"/>
      <c r="B198" s="72">
        <v>8070</v>
      </c>
      <c r="C198" s="33" t="s">
        <v>304</v>
      </c>
      <c r="D198" s="175">
        <v>299655</v>
      </c>
      <c r="E198" s="176"/>
      <c r="F198" s="176"/>
      <c r="G198" s="177">
        <v>464809</v>
      </c>
      <c r="H198" s="102">
        <f>G198/G623</f>
        <v>0.013121671989338227</v>
      </c>
      <c r="I198" t="s">
        <v>236</v>
      </c>
    </row>
    <row r="199" spans="1:8" ht="15" thickBot="1" thickTop="1">
      <c r="A199" s="228" t="s">
        <v>95</v>
      </c>
      <c r="B199" s="229"/>
      <c r="C199" s="229"/>
      <c r="D199" s="155">
        <f>SUM(D198)</f>
        <v>299655</v>
      </c>
      <c r="E199" s="133">
        <f>SUM(E198)</f>
        <v>0</v>
      </c>
      <c r="F199" s="133">
        <f>SUM(F198)</f>
        <v>0</v>
      </c>
      <c r="G199" s="160">
        <f>SUM(G198)</f>
        <v>464809</v>
      </c>
      <c r="H199" s="91">
        <f>G199/G623</f>
        <v>0.013121671989338227</v>
      </c>
    </row>
    <row r="200" spans="1:8" ht="14.25" thickTop="1">
      <c r="A200" s="233">
        <v>75704</v>
      </c>
      <c r="B200" s="291" t="s">
        <v>305</v>
      </c>
      <c r="C200" s="292"/>
      <c r="D200" s="292"/>
      <c r="E200" s="292"/>
      <c r="F200" s="292"/>
      <c r="G200" s="292"/>
      <c r="H200" s="293"/>
    </row>
    <row r="201" spans="1:9" ht="24.75" thickBot="1">
      <c r="A201" s="234"/>
      <c r="B201" s="73">
        <v>8020</v>
      </c>
      <c r="C201" s="74" t="s">
        <v>206</v>
      </c>
      <c r="D201" s="178">
        <v>190200</v>
      </c>
      <c r="E201" s="176"/>
      <c r="F201" s="176"/>
      <c r="G201" s="179">
        <v>70000</v>
      </c>
      <c r="H201" s="102">
        <f>G201/G623</f>
        <v>0.001976117156194643</v>
      </c>
      <c r="I201" t="s">
        <v>236</v>
      </c>
    </row>
    <row r="202" spans="1:8" ht="15" thickBot="1" thickTop="1">
      <c r="A202" s="228" t="s">
        <v>140</v>
      </c>
      <c r="B202" s="229"/>
      <c r="C202" s="229"/>
      <c r="D202" s="155">
        <f>SUM(D201:D201)</f>
        <v>190200</v>
      </c>
      <c r="E202" s="133">
        <f>SUM(E201:E201)</f>
        <v>0</v>
      </c>
      <c r="F202" s="133">
        <f>SUM(F201:F201)</f>
        <v>0</v>
      </c>
      <c r="G202" s="180">
        <f>SUM(G201:G201)</f>
        <v>70000</v>
      </c>
      <c r="H202" s="103">
        <f>G202/G623</f>
        <v>0.001976117156194643</v>
      </c>
    </row>
    <row r="203" spans="1:8" ht="16.5" thickBot="1" thickTop="1">
      <c r="A203" s="230" t="s">
        <v>146</v>
      </c>
      <c r="B203" s="231"/>
      <c r="C203" s="231"/>
      <c r="D203" s="135">
        <f>SUM(D199+D202)</f>
        <v>489855</v>
      </c>
      <c r="E203" s="145">
        <f>SUM(E199+E202)</f>
        <v>0</v>
      </c>
      <c r="F203" s="145">
        <f>SUM(F199+F202)</f>
        <v>0</v>
      </c>
      <c r="G203" s="146">
        <f>SUM(G199+G202)</f>
        <v>534809</v>
      </c>
      <c r="H203" s="92">
        <f>G203/G623</f>
        <v>0.01509778914553287</v>
      </c>
    </row>
    <row r="204" spans="1:8" ht="21" thickBot="1" thickTop="1">
      <c r="A204" s="244" t="s">
        <v>230</v>
      </c>
      <c r="B204" s="245"/>
      <c r="C204" s="245"/>
      <c r="D204" s="245"/>
      <c r="E204" s="245"/>
      <c r="F204" s="245"/>
      <c r="G204" s="245"/>
      <c r="H204" s="246"/>
    </row>
    <row r="205" spans="1:8" ht="14.25" thickTop="1">
      <c r="A205" s="233">
        <v>75818</v>
      </c>
      <c r="B205" s="291" t="s">
        <v>258</v>
      </c>
      <c r="C205" s="292"/>
      <c r="D205" s="292"/>
      <c r="E205" s="292"/>
      <c r="F205" s="292"/>
      <c r="G205" s="292"/>
      <c r="H205" s="293"/>
    </row>
    <row r="206" spans="1:8" ht="12.75">
      <c r="A206" s="227"/>
      <c r="B206" s="73">
        <v>4810</v>
      </c>
      <c r="C206" s="74" t="s">
        <v>139</v>
      </c>
      <c r="D206" s="178">
        <v>0</v>
      </c>
      <c r="E206" s="176"/>
      <c r="F206" s="176"/>
      <c r="G206" s="179">
        <v>244897</v>
      </c>
      <c r="H206" s="119">
        <f>G206/G623</f>
        <v>0.006913502331437136</v>
      </c>
    </row>
    <row r="207" spans="1:8" ht="13.5" thickBot="1">
      <c r="A207" s="234"/>
      <c r="B207" s="73">
        <v>4810</v>
      </c>
      <c r="C207" s="74" t="s">
        <v>306</v>
      </c>
      <c r="D207" s="178">
        <v>0</v>
      </c>
      <c r="E207" s="176"/>
      <c r="F207" s="176"/>
      <c r="G207" s="179">
        <v>680000</v>
      </c>
      <c r="H207" s="118">
        <f>G207/G623</f>
        <v>0.019196566660176533</v>
      </c>
    </row>
    <row r="208" spans="1:9" ht="15" thickBot="1" thickTop="1">
      <c r="A208" s="228" t="s">
        <v>140</v>
      </c>
      <c r="B208" s="229"/>
      <c r="C208" s="229"/>
      <c r="D208" s="155">
        <f>SUM(D206:D207)</f>
        <v>0</v>
      </c>
      <c r="E208" s="155">
        <f>SUM(E206:E207)</f>
        <v>0</v>
      </c>
      <c r="F208" s="155">
        <f>SUM(F206:F207)</f>
        <v>0</v>
      </c>
      <c r="G208" s="155">
        <f>SUM(G206:G207)</f>
        <v>924897</v>
      </c>
      <c r="H208" s="103">
        <f>G208/G623</f>
        <v>0.02611006899161367</v>
      </c>
      <c r="I208" t="s">
        <v>236</v>
      </c>
    </row>
    <row r="209" spans="1:8" ht="16.5" thickBot="1" thickTop="1">
      <c r="A209" s="230" t="s">
        <v>231</v>
      </c>
      <c r="B209" s="231"/>
      <c r="C209" s="231"/>
      <c r="D209" s="135">
        <f>D208</f>
        <v>0</v>
      </c>
      <c r="E209" s="135">
        <f>E208</f>
        <v>0</v>
      </c>
      <c r="F209" s="135">
        <f>F208</f>
        <v>0</v>
      </c>
      <c r="G209" s="135">
        <f>G208</f>
        <v>924897</v>
      </c>
      <c r="H209" s="92">
        <f>G209/G623</f>
        <v>0.02611006899161367</v>
      </c>
    </row>
    <row r="210" spans="1:8" ht="21" thickBot="1" thickTop="1">
      <c r="A210" s="271" t="s">
        <v>33</v>
      </c>
      <c r="B210" s="272"/>
      <c r="C210" s="272"/>
      <c r="D210" s="272"/>
      <c r="E210" s="272"/>
      <c r="F210" s="272"/>
      <c r="G210" s="272"/>
      <c r="H210" s="273"/>
    </row>
    <row r="211" spans="1:8" ht="15" customHeight="1" thickTop="1">
      <c r="A211" s="253">
        <v>80102</v>
      </c>
      <c r="B211" s="235" t="s">
        <v>10</v>
      </c>
      <c r="C211" s="236"/>
      <c r="D211" s="236"/>
      <c r="E211" s="236"/>
      <c r="F211" s="236"/>
      <c r="G211" s="236"/>
      <c r="H211" s="237"/>
    </row>
    <row r="212" spans="1:8" ht="24">
      <c r="A212" s="232"/>
      <c r="B212" s="13">
        <v>3020</v>
      </c>
      <c r="C212" s="11" t="s">
        <v>200</v>
      </c>
      <c r="D212" s="158">
        <v>26700</v>
      </c>
      <c r="E212" s="142"/>
      <c r="F212" s="142"/>
      <c r="G212" s="159">
        <v>27300</v>
      </c>
      <c r="H212" s="93">
        <f>G212/G623</f>
        <v>0.0007706856909159109</v>
      </c>
    </row>
    <row r="213" spans="1:8" ht="24">
      <c r="A213" s="232"/>
      <c r="B213" s="10">
        <v>4010</v>
      </c>
      <c r="C213" s="11" t="s">
        <v>62</v>
      </c>
      <c r="D213" s="158">
        <v>1123662</v>
      </c>
      <c r="E213" s="142"/>
      <c r="F213" s="142"/>
      <c r="G213" s="159">
        <v>1169700</v>
      </c>
      <c r="H213" s="93">
        <f>G213/$G$623</f>
        <v>0.03302091768001249</v>
      </c>
    </row>
    <row r="214" spans="1:8" ht="12.75">
      <c r="A214" s="232"/>
      <c r="B214" s="10">
        <v>4040</v>
      </c>
      <c r="C214" s="11" t="s">
        <v>82</v>
      </c>
      <c r="D214" s="181">
        <v>74746</v>
      </c>
      <c r="E214" s="142"/>
      <c r="F214" s="142"/>
      <c r="G214" s="159">
        <v>93700</v>
      </c>
      <c r="H214" s="93">
        <f aca="true" t="shared" si="5" ref="H214:H233">G214/$G$623</f>
        <v>0.0026451739647919722</v>
      </c>
    </row>
    <row r="215" spans="1:8" ht="15" customHeight="1">
      <c r="A215" s="232"/>
      <c r="B215" s="10">
        <v>4110</v>
      </c>
      <c r="C215" s="11" t="s">
        <v>81</v>
      </c>
      <c r="D215" s="181">
        <v>203657</v>
      </c>
      <c r="E215" s="142"/>
      <c r="F215" s="142"/>
      <c r="G215" s="159">
        <v>190900</v>
      </c>
      <c r="H215" s="93">
        <f t="shared" si="5"/>
        <v>0.005389153787393677</v>
      </c>
    </row>
    <row r="216" spans="1:8" ht="12.75">
      <c r="A216" s="232"/>
      <c r="B216" s="10">
        <v>4120</v>
      </c>
      <c r="C216" s="11" t="s">
        <v>80</v>
      </c>
      <c r="D216" s="181">
        <v>29500</v>
      </c>
      <c r="E216" s="142"/>
      <c r="F216" s="142"/>
      <c r="G216" s="159">
        <v>30700</v>
      </c>
      <c r="H216" s="93">
        <f t="shared" si="5"/>
        <v>0.0008666685242167935</v>
      </c>
    </row>
    <row r="217" spans="1:8" ht="12.75">
      <c r="A217" s="232"/>
      <c r="B217" s="10">
        <v>4170</v>
      </c>
      <c r="C217" s="11" t="s">
        <v>192</v>
      </c>
      <c r="D217" s="181">
        <v>700</v>
      </c>
      <c r="E217" s="142"/>
      <c r="F217" s="142"/>
      <c r="G217" s="159">
        <v>700</v>
      </c>
      <c r="H217" s="93">
        <f t="shared" si="5"/>
        <v>1.9761171561946432E-05</v>
      </c>
    </row>
    <row r="218" spans="1:8" ht="12.75">
      <c r="A218" s="232"/>
      <c r="B218" s="10">
        <v>4210</v>
      </c>
      <c r="C218" s="11" t="s">
        <v>64</v>
      </c>
      <c r="D218" s="181">
        <v>23222</v>
      </c>
      <c r="E218" s="142"/>
      <c r="F218" s="142"/>
      <c r="G218" s="159">
        <v>23800</v>
      </c>
      <c r="H218" s="93">
        <f t="shared" si="5"/>
        <v>0.0006718798331061787</v>
      </c>
    </row>
    <row r="219" spans="1:8" ht="12.75">
      <c r="A219" s="232"/>
      <c r="B219" s="10">
        <v>4230</v>
      </c>
      <c r="C219" s="11" t="s">
        <v>89</v>
      </c>
      <c r="D219" s="181">
        <v>400</v>
      </c>
      <c r="E219" s="142"/>
      <c r="F219" s="142"/>
      <c r="G219" s="159">
        <v>400</v>
      </c>
      <c r="H219" s="93">
        <f t="shared" si="5"/>
        <v>1.129209803539796E-05</v>
      </c>
    </row>
    <row r="220" spans="1:8" ht="12.75">
      <c r="A220" s="232"/>
      <c r="B220" s="10">
        <v>4260</v>
      </c>
      <c r="C220" s="11" t="s">
        <v>65</v>
      </c>
      <c r="D220" s="181">
        <v>20900</v>
      </c>
      <c r="E220" s="142"/>
      <c r="F220" s="142"/>
      <c r="G220" s="159">
        <v>21900</v>
      </c>
      <c r="H220" s="93">
        <f t="shared" si="5"/>
        <v>0.0006182423674380384</v>
      </c>
    </row>
    <row r="221" spans="1:8" ht="12.75">
      <c r="A221" s="232"/>
      <c r="B221" s="10">
        <v>4270</v>
      </c>
      <c r="C221" s="11" t="s">
        <v>127</v>
      </c>
      <c r="D221" s="181">
        <v>56239</v>
      </c>
      <c r="E221" s="142"/>
      <c r="F221" s="142"/>
      <c r="G221" s="159">
        <v>10000</v>
      </c>
      <c r="H221" s="93">
        <f t="shared" si="5"/>
        <v>0.000282302450884949</v>
      </c>
    </row>
    <row r="222" spans="1:8" ht="12.75">
      <c r="A222" s="232"/>
      <c r="B222" s="10">
        <v>4280</v>
      </c>
      <c r="C222" s="11" t="s">
        <v>99</v>
      </c>
      <c r="D222" s="181">
        <v>1100</v>
      </c>
      <c r="E222" s="142"/>
      <c r="F222" s="142"/>
      <c r="G222" s="159">
        <v>1500</v>
      </c>
      <c r="H222" s="93">
        <f t="shared" si="5"/>
        <v>4.234536763274235E-05</v>
      </c>
    </row>
    <row r="223" spans="1:8" ht="12.75">
      <c r="A223" s="232"/>
      <c r="B223" s="10">
        <v>4300</v>
      </c>
      <c r="C223" s="11" t="s">
        <v>60</v>
      </c>
      <c r="D223" s="181">
        <v>46810</v>
      </c>
      <c r="E223" s="142"/>
      <c r="F223" s="142"/>
      <c r="G223" s="159">
        <v>71800</v>
      </c>
      <c r="H223" s="93">
        <f t="shared" si="5"/>
        <v>0.002026931597353934</v>
      </c>
    </row>
    <row r="224" spans="1:8" ht="24">
      <c r="A224" s="232"/>
      <c r="B224" s="10">
        <v>4350</v>
      </c>
      <c r="C224" s="11" t="s">
        <v>255</v>
      </c>
      <c r="D224" s="181">
        <v>500</v>
      </c>
      <c r="E224" s="142"/>
      <c r="F224" s="142"/>
      <c r="G224" s="159">
        <v>500</v>
      </c>
      <c r="H224" s="93">
        <f t="shared" si="5"/>
        <v>1.411512254424745E-05</v>
      </c>
    </row>
    <row r="225" spans="1:8" ht="36">
      <c r="A225" s="232"/>
      <c r="B225" s="10">
        <v>4370</v>
      </c>
      <c r="C225" s="11" t="s">
        <v>307</v>
      </c>
      <c r="D225" s="181">
        <v>5800</v>
      </c>
      <c r="E225" s="142"/>
      <c r="F225" s="142"/>
      <c r="G225" s="159">
        <v>4900</v>
      </c>
      <c r="H225" s="93">
        <f t="shared" si="5"/>
        <v>0.00013832820093362503</v>
      </c>
    </row>
    <row r="226" spans="1:8" ht="12.75">
      <c r="A226" s="232"/>
      <c r="B226" s="10">
        <v>4410</v>
      </c>
      <c r="C226" s="11" t="s">
        <v>308</v>
      </c>
      <c r="D226" s="181">
        <v>5154</v>
      </c>
      <c r="E226" s="142"/>
      <c r="F226" s="142"/>
      <c r="G226" s="159">
        <v>5300</v>
      </c>
      <c r="H226" s="93">
        <f t="shared" si="5"/>
        <v>0.00014962029896902298</v>
      </c>
    </row>
    <row r="227" spans="1:8" ht="12.75">
      <c r="A227" s="232"/>
      <c r="B227" s="10">
        <v>4430</v>
      </c>
      <c r="C227" s="11" t="s">
        <v>68</v>
      </c>
      <c r="D227" s="181">
        <v>1600</v>
      </c>
      <c r="E227" s="142"/>
      <c r="F227" s="142"/>
      <c r="G227" s="159">
        <v>2100</v>
      </c>
      <c r="H227" s="93">
        <f t="shared" si="5"/>
        <v>5.928351468583929E-05</v>
      </c>
    </row>
    <row r="228" spans="1:8" ht="12.75">
      <c r="A228" s="254"/>
      <c r="B228" s="45">
        <v>4440</v>
      </c>
      <c r="C228" s="46" t="s">
        <v>69</v>
      </c>
      <c r="D228" s="136">
        <v>62700</v>
      </c>
      <c r="E228" s="137"/>
      <c r="F228" s="137"/>
      <c r="G228" s="138">
        <v>69400</v>
      </c>
      <c r="H228" s="93">
        <f t="shared" si="5"/>
        <v>0.001959179009141546</v>
      </c>
    </row>
    <row r="229" spans="1:8" ht="13.5">
      <c r="A229" s="76"/>
      <c r="B229" s="45">
        <v>4520</v>
      </c>
      <c r="C229" s="46" t="s">
        <v>92</v>
      </c>
      <c r="D229" s="136">
        <v>100</v>
      </c>
      <c r="E229" s="137"/>
      <c r="F229" s="137"/>
      <c r="G229" s="138">
        <v>100</v>
      </c>
      <c r="H229" s="93">
        <f t="shared" si="5"/>
        <v>2.82302450884949E-06</v>
      </c>
    </row>
    <row r="230" spans="1:8" ht="36">
      <c r="A230" s="76"/>
      <c r="B230" s="45">
        <v>4700</v>
      </c>
      <c r="C230" s="11" t="s">
        <v>309</v>
      </c>
      <c r="D230" s="136">
        <v>3100</v>
      </c>
      <c r="E230" s="137"/>
      <c r="F230" s="137"/>
      <c r="G230" s="138">
        <v>3100</v>
      </c>
      <c r="H230" s="93">
        <f t="shared" si="5"/>
        <v>8.75137597743342E-05</v>
      </c>
    </row>
    <row r="231" spans="1:8" ht="36">
      <c r="A231" s="76"/>
      <c r="B231" s="45">
        <v>4740</v>
      </c>
      <c r="C231" s="46" t="s">
        <v>246</v>
      </c>
      <c r="D231" s="136">
        <v>600</v>
      </c>
      <c r="E231" s="137"/>
      <c r="F231" s="137"/>
      <c r="G231" s="138">
        <v>1100</v>
      </c>
      <c r="H231" s="93">
        <f t="shared" si="5"/>
        <v>3.105326959734439E-05</v>
      </c>
    </row>
    <row r="232" spans="1:8" ht="36">
      <c r="A232" s="76"/>
      <c r="B232" s="45">
        <v>4750</v>
      </c>
      <c r="C232" s="46" t="s">
        <v>310</v>
      </c>
      <c r="D232" s="136">
        <v>1000</v>
      </c>
      <c r="E232" s="137"/>
      <c r="F232" s="137"/>
      <c r="G232" s="138">
        <v>1000</v>
      </c>
      <c r="H232" s="93">
        <f t="shared" si="5"/>
        <v>2.82302450884949E-05</v>
      </c>
    </row>
    <row r="233" spans="1:8" ht="24.75" thickBot="1">
      <c r="A233" s="76"/>
      <c r="B233" s="47">
        <v>6060</v>
      </c>
      <c r="C233" s="46" t="s">
        <v>263</v>
      </c>
      <c r="D233" s="163">
        <v>3978</v>
      </c>
      <c r="E233" s="153"/>
      <c r="F233" s="153"/>
      <c r="G233" s="182">
        <v>14000</v>
      </c>
      <c r="H233" s="93">
        <f t="shared" si="5"/>
        <v>0.0003952234312389286</v>
      </c>
    </row>
    <row r="234" spans="1:9" ht="15" thickBot="1" thickTop="1">
      <c r="A234" s="228" t="s">
        <v>120</v>
      </c>
      <c r="B234" s="229"/>
      <c r="C234" s="229"/>
      <c r="D234" s="139">
        <f>SUM(D212:D233)</f>
        <v>1692168</v>
      </c>
      <c r="E234" s="139">
        <f>SUM(E212:E233)</f>
        <v>0</v>
      </c>
      <c r="F234" s="139">
        <f>SUM(F212:F233)</f>
        <v>0</v>
      </c>
      <c r="G234" s="139">
        <f>SUM(G212:G233)</f>
        <v>1743900</v>
      </c>
      <c r="H234" s="91">
        <f>G234/G623</f>
        <v>0.04923072440982626</v>
      </c>
      <c r="I234" t="s">
        <v>236</v>
      </c>
    </row>
    <row r="235" spans="1:8" ht="15" customHeight="1" thickTop="1">
      <c r="A235" s="250">
        <v>80111</v>
      </c>
      <c r="B235" s="235" t="s">
        <v>100</v>
      </c>
      <c r="C235" s="236"/>
      <c r="D235" s="236"/>
      <c r="E235" s="236"/>
      <c r="F235" s="236"/>
      <c r="G235" s="236"/>
      <c r="H235" s="237"/>
    </row>
    <row r="236" spans="1:8" ht="27" customHeight="1">
      <c r="A236" s="251"/>
      <c r="B236" s="13">
        <v>3020</v>
      </c>
      <c r="C236" s="11" t="s">
        <v>200</v>
      </c>
      <c r="D236" s="158">
        <v>2100</v>
      </c>
      <c r="E236" s="142"/>
      <c r="F236" s="142"/>
      <c r="G236" s="159">
        <v>2200</v>
      </c>
      <c r="H236" s="93">
        <f>G236/$G$623</f>
        <v>6.210653919468878E-05</v>
      </c>
    </row>
    <row r="237" spans="1:8" ht="24">
      <c r="A237" s="251"/>
      <c r="B237" s="10">
        <v>4010</v>
      </c>
      <c r="C237" s="11" t="s">
        <v>62</v>
      </c>
      <c r="D237" s="158">
        <v>475552</v>
      </c>
      <c r="E237" s="142"/>
      <c r="F237" s="142"/>
      <c r="G237" s="159">
        <v>478800</v>
      </c>
      <c r="H237" s="93">
        <f aca="true" t="shared" si="6" ref="H237:H253">G237/$G$623</f>
        <v>0.013516641348371359</v>
      </c>
    </row>
    <row r="238" spans="1:8" ht="12.75" customHeight="1">
      <c r="A238" s="251"/>
      <c r="B238" s="10">
        <v>4040</v>
      </c>
      <c r="C238" s="11" t="s">
        <v>82</v>
      </c>
      <c r="D238" s="158">
        <v>39248</v>
      </c>
      <c r="E238" s="142"/>
      <c r="F238" s="142"/>
      <c r="G238" s="159">
        <v>39100</v>
      </c>
      <c r="H238" s="93">
        <f t="shared" si="6"/>
        <v>0.0011038025829601507</v>
      </c>
    </row>
    <row r="239" spans="1:8" ht="15" customHeight="1">
      <c r="A239" s="251"/>
      <c r="B239" s="10">
        <v>4110</v>
      </c>
      <c r="C239" s="11" t="s">
        <v>81</v>
      </c>
      <c r="D239" s="158">
        <v>84527</v>
      </c>
      <c r="E239" s="142"/>
      <c r="F239" s="142"/>
      <c r="G239" s="159">
        <v>77500</v>
      </c>
      <c r="H239" s="93">
        <f t="shared" si="6"/>
        <v>0.002187843994358355</v>
      </c>
    </row>
    <row r="240" spans="1:8" ht="12.75" customHeight="1">
      <c r="A240" s="251"/>
      <c r="B240" s="10">
        <v>4120</v>
      </c>
      <c r="C240" s="11" t="s">
        <v>80</v>
      </c>
      <c r="D240" s="158">
        <v>12096</v>
      </c>
      <c r="E240" s="142"/>
      <c r="F240" s="142"/>
      <c r="G240" s="159">
        <v>12400</v>
      </c>
      <c r="H240" s="93">
        <f t="shared" si="6"/>
        <v>0.0003500550390973368</v>
      </c>
    </row>
    <row r="241" spans="1:8" ht="12.75" customHeight="1">
      <c r="A241" s="251"/>
      <c r="B241" s="10">
        <v>4170</v>
      </c>
      <c r="C241" s="11" t="s">
        <v>192</v>
      </c>
      <c r="D241" s="158">
        <v>0</v>
      </c>
      <c r="E241" s="142"/>
      <c r="F241" s="142"/>
      <c r="G241" s="159">
        <v>800</v>
      </c>
      <c r="H241" s="93">
        <f t="shared" si="6"/>
        <v>2.258419607079592E-05</v>
      </c>
    </row>
    <row r="242" spans="1:8" ht="12.75" customHeight="1">
      <c r="A242" s="251"/>
      <c r="B242" s="10">
        <v>4210</v>
      </c>
      <c r="C242" s="11" t="s">
        <v>64</v>
      </c>
      <c r="D242" s="158">
        <v>16800</v>
      </c>
      <c r="E242" s="142"/>
      <c r="F242" s="142"/>
      <c r="G242" s="159">
        <v>17200</v>
      </c>
      <c r="H242" s="93">
        <f t="shared" si="6"/>
        <v>0.0004855602155221123</v>
      </c>
    </row>
    <row r="243" spans="1:8" ht="12.75" customHeight="1">
      <c r="A243" s="251"/>
      <c r="B243" s="10">
        <v>4240</v>
      </c>
      <c r="C243" s="11" t="s">
        <v>193</v>
      </c>
      <c r="D243" s="158">
        <v>500</v>
      </c>
      <c r="E243" s="142"/>
      <c r="F243" s="142"/>
      <c r="G243" s="159">
        <v>500</v>
      </c>
      <c r="H243" s="93">
        <f t="shared" si="6"/>
        <v>1.411512254424745E-05</v>
      </c>
    </row>
    <row r="244" spans="1:8" ht="12.75" customHeight="1">
      <c r="A244" s="251"/>
      <c r="B244" s="10">
        <v>4260</v>
      </c>
      <c r="C244" s="11" t="s">
        <v>65</v>
      </c>
      <c r="D244" s="158">
        <v>11300</v>
      </c>
      <c r="E244" s="142"/>
      <c r="F244" s="142"/>
      <c r="G244" s="159">
        <v>11600</v>
      </c>
      <c r="H244" s="93">
        <f t="shared" si="6"/>
        <v>0.0003274708430265409</v>
      </c>
    </row>
    <row r="245" spans="1:8" ht="12.75" customHeight="1">
      <c r="A245" s="251"/>
      <c r="B245" s="10">
        <v>4270</v>
      </c>
      <c r="C245" s="11" t="s">
        <v>127</v>
      </c>
      <c r="D245" s="158">
        <v>10000</v>
      </c>
      <c r="E245" s="142"/>
      <c r="F245" s="142"/>
      <c r="G245" s="159">
        <v>5900</v>
      </c>
      <c r="H245" s="93">
        <f t="shared" si="6"/>
        <v>0.00016655844602211993</v>
      </c>
    </row>
    <row r="246" spans="1:8" ht="12.75" customHeight="1">
      <c r="A246" s="251"/>
      <c r="B246" s="10">
        <v>4280</v>
      </c>
      <c r="C246" s="11" t="s">
        <v>194</v>
      </c>
      <c r="D246" s="158">
        <v>200</v>
      </c>
      <c r="E246" s="142"/>
      <c r="F246" s="142"/>
      <c r="G246" s="159">
        <v>200</v>
      </c>
      <c r="H246" s="93">
        <f t="shared" si="6"/>
        <v>5.64604901769898E-06</v>
      </c>
    </row>
    <row r="247" spans="1:8" ht="12.75" customHeight="1">
      <c r="A247" s="251"/>
      <c r="B247" s="10">
        <v>4300</v>
      </c>
      <c r="C247" s="11" t="s">
        <v>60</v>
      </c>
      <c r="D247" s="158">
        <v>20800</v>
      </c>
      <c r="E247" s="142"/>
      <c r="F247" s="142"/>
      <c r="G247" s="159">
        <v>38700</v>
      </c>
      <c r="H247" s="93">
        <f t="shared" si="6"/>
        <v>0.0010925104849247528</v>
      </c>
    </row>
    <row r="248" spans="1:8" ht="24">
      <c r="A248" s="251"/>
      <c r="B248" s="10">
        <v>4350</v>
      </c>
      <c r="C248" s="11" t="s">
        <v>255</v>
      </c>
      <c r="D248" s="158">
        <v>1000</v>
      </c>
      <c r="E248" s="142"/>
      <c r="F248" s="142"/>
      <c r="G248" s="159">
        <v>1000</v>
      </c>
      <c r="H248" s="93">
        <f t="shared" si="6"/>
        <v>2.82302450884949E-05</v>
      </c>
    </row>
    <row r="249" spans="1:8" ht="36">
      <c r="A249" s="251"/>
      <c r="B249" s="10">
        <v>4370</v>
      </c>
      <c r="C249" s="11" t="s">
        <v>311</v>
      </c>
      <c r="D249" s="158">
        <v>4800</v>
      </c>
      <c r="E249" s="142"/>
      <c r="F249" s="142"/>
      <c r="G249" s="159">
        <v>4900</v>
      </c>
      <c r="H249" s="93">
        <f t="shared" si="6"/>
        <v>0.00013832820093362503</v>
      </c>
    </row>
    <row r="250" spans="1:8" ht="12.75" customHeight="1">
      <c r="A250" s="251"/>
      <c r="B250" s="10">
        <v>4410</v>
      </c>
      <c r="C250" s="11" t="s">
        <v>308</v>
      </c>
      <c r="D250" s="158">
        <v>3252</v>
      </c>
      <c r="E250" s="142"/>
      <c r="F250" s="142"/>
      <c r="G250" s="159">
        <v>3300</v>
      </c>
      <c r="H250" s="93">
        <f t="shared" si="6"/>
        <v>9.315980879203318E-05</v>
      </c>
    </row>
    <row r="251" spans="1:8" ht="13.5" customHeight="1">
      <c r="A251" s="251"/>
      <c r="B251" s="45">
        <v>4440</v>
      </c>
      <c r="C251" s="46" t="s">
        <v>69</v>
      </c>
      <c r="D251" s="136">
        <v>28700</v>
      </c>
      <c r="E251" s="137"/>
      <c r="F251" s="137"/>
      <c r="G251" s="138">
        <v>28200</v>
      </c>
      <c r="H251" s="93">
        <f t="shared" si="6"/>
        <v>0.0007960929114955562</v>
      </c>
    </row>
    <row r="252" spans="1:8" ht="36">
      <c r="A252" s="251"/>
      <c r="B252" s="10">
        <v>4740</v>
      </c>
      <c r="C252" s="11" t="s">
        <v>246</v>
      </c>
      <c r="D252" s="158">
        <v>1100</v>
      </c>
      <c r="E252" s="142"/>
      <c r="F252" s="142"/>
      <c r="G252" s="159">
        <v>1100</v>
      </c>
      <c r="H252" s="93">
        <f t="shared" si="6"/>
        <v>3.105326959734439E-05</v>
      </c>
    </row>
    <row r="253" spans="1:8" ht="36.75" thickBot="1">
      <c r="A253" s="252"/>
      <c r="B253" s="112">
        <v>4750</v>
      </c>
      <c r="C253" s="80" t="s">
        <v>310</v>
      </c>
      <c r="D253" s="183">
        <v>1500</v>
      </c>
      <c r="E253" s="184"/>
      <c r="F253" s="184"/>
      <c r="G253" s="185">
        <v>1500</v>
      </c>
      <c r="H253" s="93">
        <f t="shared" si="6"/>
        <v>4.234536763274235E-05</v>
      </c>
    </row>
    <row r="254" spans="1:9" ht="15" thickBot="1" thickTop="1">
      <c r="A254" s="228" t="s">
        <v>101</v>
      </c>
      <c r="B254" s="229"/>
      <c r="C254" s="229"/>
      <c r="D254" s="139">
        <f>SUM(D236:D253)</f>
        <v>713475</v>
      </c>
      <c r="E254" s="139">
        <f>SUM(E236:E251)</f>
        <v>0</v>
      </c>
      <c r="F254" s="139">
        <f>SUM(F236:F251)</f>
        <v>0</v>
      </c>
      <c r="G254" s="140">
        <f>SUM(G236:G253)</f>
        <v>724900</v>
      </c>
      <c r="H254" s="91">
        <f>G254/G623</f>
        <v>0.020464104664649953</v>
      </c>
      <c r="I254" t="s">
        <v>236</v>
      </c>
    </row>
    <row r="255" spans="1:8" ht="14.25" thickTop="1">
      <c r="A255" s="250">
        <v>80113</v>
      </c>
      <c r="B255" s="235" t="s">
        <v>237</v>
      </c>
      <c r="C255" s="236"/>
      <c r="D255" s="236"/>
      <c r="E255" s="236"/>
      <c r="F255" s="236"/>
      <c r="G255" s="236"/>
      <c r="H255" s="237"/>
    </row>
    <row r="256" spans="1:8" ht="48.75" thickBot="1">
      <c r="A256" s="251"/>
      <c r="B256" s="13">
        <v>2310</v>
      </c>
      <c r="C256" s="11" t="s">
        <v>137</v>
      </c>
      <c r="D256" s="158">
        <v>5000</v>
      </c>
      <c r="E256" s="142"/>
      <c r="F256" s="142"/>
      <c r="G256" s="159">
        <v>5000</v>
      </c>
      <c r="H256" s="93">
        <f>G256/G623</f>
        <v>0.0001411512254424745</v>
      </c>
    </row>
    <row r="257" spans="1:8" ht="15" thickBot="1" thickTop="1">
      <c r="A257" s="228" t="s">
        <v>238</v>
      </c>
      <c r="B257" s="229"/>
      <c r="C257" s="229"/>
      <c r="D257" s="139">
        <f>SUM(D256:D256)</f>
        <v>5000</v>
      </c>
      <c r="E257" s="139">
        <f>SUM(E256:E256)</f>
        <v>0</v>
      </c>
      <c r="F257" s="139">
        <f>SUM(F256:F256)</f>
        <v>0</v>
      </c>
      <c r="G257" s="140">
        <f>SUM(G256:G256)</f>
        <v>5000</v>
      </c>
      <c r="H257" s="91">
        <f>G257/G623</f>
        <v>0.0001411512254424745</v>
      </c>
    </row>
    <row r="258" spans="1:8" ht="15" customHeight="1" thickTop="1">
      <c r="A258" s="250">
        <v>80120</v>
      </c>
      <c r="B258" s="235" t="s">
        <v>11</v>
      </c>
      <c r="C258" s="236"/>
      <c r="D258" s="236"/>
      <c r="E258" s="236"/>
      <c r="F258" s="236"/>
      <c r="G258" s="236"/>
      <c r="H258" s="237"/>
    </row>
    <row r="259" spans="1:8" ht="24">
      <c r="A259" s="251"/>
      <c r="B259" s="13">
        <v>3020</v>
      </c>
      <c r="C259" s="11" t="s">
        <v>200</v>
      </c>
      <c r="D259" s="158">
        <v>4364</v>
      </c>
      <c r="E259" s="142"/>
      <c r="F259" s="142"/>
      <c r="G259" s="159">
        <v>4423</v>
      </c>
      <c r="H259" s="93">
        <f>G259/$G$623</f>
        <v>0.00012486237402641295</v>
      </c>
    </row>
    <row r="260" spans="1:8" ht="24">
      <c r="A260" s="251"/>
      <c r="B260" s="10">
        <v>4010</v>
      </c>
      <c r="C260" s="11" t="s">
        <v>62</v>
      </c>
      <c r="D260" s="158">
        <v>1718018</v>
      </c>
      <c r="E260" s="142"/>
      <c r="F260" s="142"/>
      <c r="G260" s="159">
        <v>1685700</v>
      </c>
      <c r="H260" s="93">
        <f aca="true" t="shared" si="7" ref="H260:H279">G260/$G$623</f>
        <v>0.04758772414567586</v>
      </c>
    </row>
    <row r="261" spans="1:8" ht="12.75">
      <c r="A261" s="251"/>
      <c r="B261" s="10">
        <v>4040</v>
      </c>
      <c r="C261" s="11" t="s">
        <v>82</v>
      </c>
      <c r="D261" s="158">
        <v>130649</v>
      </c>
      <c r="E261" s="142"/>
      <c r="F261" s="142"/>
      <c r="G261" s="159">
        <v>139400</v>
      </c>
      <c r="H261" s="93">
        <f t="shared" si="7"/>
        <v>0.00393529616533619</v>
      </c>
    </row>
    <row r="262" spans="1:8" ht="15.75" customHeight="1">
      <c r="A262" s="251"/>
      <c r="B262" s="10">
        <v>4110</v>
      </c>
      <c r="C262" s="11" t="s">
        <v>81</v>
      </c>
      <c r="D262" s="158">
        <v>297606</v>
      </c>
      <c r="E262" s="142"/>
      <c r="F262" s="142"/>
      <c r="G262" s="159">
        <v>287780</v>
      </c>
      <c r="H262" s="93">
        <f t="shared" si="7"/>
        <v>0.008124099931567062</v>
      </c>
    </row>
    <row r="263" spans="1:8" ht="12.75">
      <c r="A263" s="251"/>
      <c r="B263" s="10">
        <v>4120</v>
      </c>
      <c r="C263" s="11" t="s">
        <v>80</v>
      </c>
      <c r="D263" s="158">
        <v>44867</v>
      </c>
      <c r="E263" s="142"/>
      <c r="F263" s="142"/>
      <c r="G263" s="159">
        <v>46100</v>
      </c>
      <c r="H263" s="93">
        <f t="shared" si="7"/>
        <v>0.001301414298579615</v>
      </c>
    </row>
    <row r="264" spans="1:8" ht="12.75">
      <c r="A264" s="251"/>
      <c r="B264" s="10">
        <v>4170</v>
      </c>
      <c r="C264" s="11" t="s">
        <v>192</v>
      </c>
      <c r="D264" s="158">
        <v>3700</v>
      </c>
      <c r="E264" s="142"/>
      <c r="F264" s="142"/>
      <c r="G264" s="159">
        <v>1500</v>
      </c>
      <c r="H264" s="93">
        <f t="shared" si="7"/>
        <v>4.234536763274235E-05</v>
      </c>
    </row>
    <row r="265" spans="1:8" ht="12.75">
      <c r="A265" s="251"/>
      <c r="B265" s="10">
        <v>4210</v>
      </c>
      <c r="C265" s="11" t="s">
        <v>64</v>
      </c>
      <c r="D265" s="158">
        <v>68172</v>
      </c>
      <c r="E265" s="142"/>
      <c r="F265" s="142"/>
      <c r="G265" s="159">
        <v>71920</v>
      </c>
      <c r="H265" s="93">
        <f t="shared" si="7"/>
        <v>0.0020303192267645534</v>
      </c>
    </row>
    <row r="266" spans="1:8" ht="12.75">
      <c r="A266" s="251"/>
      <c r="B266" s="42" t="s">
        <v>96</v>
      </c>
      <c r="C266" s="11" t="s">
        <v>97</v>
      </c>
      <c r="D266" s="158">
        <v>2690</v>
      </c>
      <c r="E266" s="142"/>
      <c r="F266" s="142"/>
      <c r="G266" s="159">
        <v>5206</v>
      </c>
      <c r="H266" s="93">
        <f t="shared" si="7"/>
        <v>0.00014696665593070445</v>
      </c>
    </row>
    <row r="267" spans="1:8" ht="12.75">
      <c r="A267" s="251"/>
      <c r="B267" s="10">
        <v>4260</v>
      </c>
      <c r="C267" s="11" t="s">
        <v>126</v>
      </c>
      <c r="D267" s="158">
        <v>114369</v>
      </c>
      <c r="E267" s="142"/>
      <c r="F267" s="142"/>
      <c r="G267" s="159">
        <v>97051</v>
      </c>
      <c r="H267" s="93">
        <f t="shared" si="7"/>
        <v>0.002739773516083519</v>
      </c>
    </row>
    <row r="268" spans="1:8" ht="12.75">
      <c r="A268" s="251"/>
      <c r="B268" s="10">
        <v>4270</v>
      </c>
      <c r="C268" s="11" t="s">
        <v>127</v>
      </c>
      <c r="D268" s="158">
        <v>1914</v>
      </c>
      <c r="E268" s="142"/>
      <c r="F268" s="142"/>
      <c r="G268" s="159">
        <v>23000</v>
      </c>
      <c r="H268" s="93">
        <f t="shared" si="7"/>
        <v>0.0006492956370353827</v>
      </c>
    </row>
    <row r="269" spans="1:8" ht="12.75">
      <c r="A269" s="251"/>
      <c r="B269" s="42" t="s">
        <v>98</v>
      </c>
      <c r="C269" s="11" t="s">
        <v>99</v>
      </c>
      <c r="D269" s="158">
        <v>2155</v>
      </c>
      <c r="E269" s="142"/>
      <c r="F269" s="142"/>
      <c r="G269" s="159">
        <v>2186</v>
      </c>
      <c r="H269" s="93">
        <f t="shared" si="7"/>
        <v>6.171131576344986E-05</v>
      </c>
    </row>
    <row r="270" spans="1:8" ht="12.75">
      <c r="A270" s="251"/>
      <c r="B270" s="10">
        <v>4300</v>
      </c>
      <c r="C270" s="11" t="s">
        <v>60</v>
      </c>
      <c r="D270" s="158">
        <v>20251</v>
      </c>
      <c r="E270" s="142"/>
      <c r="F270" s="142"/>
      <c r="G270" s="159">
        <v>22491</v>
      </c>
      <c r="H270" s="93">
        <f t="shared" si="7"/>
        <v>0.0006349264422853388</v>
      </c>
    </row>
    <row r="271" spans="1:8" ht="24">
      <c r="A271" s="251"/>
      <c r="B271" s="10">
        <v>4350</v>
      </c>
      <c r="C271" s="11" t="s">
        <v>255</v>
      </c>
      <c r="D271" s="158">
        <v>2765</v>
      </c>
      <c r="E271" s="142"/>
      <c r="F271" s="142"/>
      <c r="G271" s="159">
        <v>2808</v>
      </c>
      <c r="H271" s="93">
        <f t="shared" si="7"/>
        <v>7.927052820849369E-05</v>
      </c>
    </row>
    <row r="272" spans="1:8" ht="36">
      <c r="A272" s="251"/>
      <c r="B272" s="10">
        <v>4370</v>
      </c>
      <c r="C272" s="11" t="s">
        <v>312</v>
      </c>
      <c r="D272" s="158">
        <v>6166</v>
      </c>
      <c r="E272" s="142"/>
      <c r="F272" s="142"/>
      <c r="G272" s="159">
        <v>6425</v>
      </c>
      <c r="H272" s="93">
        <f t="shared" si="7"/>
        <v>0.00018137932469357973</v>
      </c>
    </row>
    <row r="273" spans="1:8" ht="12.75">
      <c r="A273" s="251"/>
      <c r="B273" s="10">
        <v>4410</v>
      </c>
      <c r="C273" s="11" t="s">
        <v>308</v>
      </c>
      <c r="D273" s="158">
        <v>3361</v>
      </c>
      <c r="E273" s="142"/>
      <c r="F273" s="142"/>
      <c r="G273" s="159">
        <v>3399</v>
      </c>
      <c r="H273" s="93">
        <f t="shared" si="7"/>
        <v>9.595460305579417E-05</v>
      </c>
    </row>
    <row r="274" spans="1:8" ht="12.75">
      <c r="A274" s="251"/>
      <c r="B274" s="10">
        <v>4430</v>
      </c>
      <c r="C274" s="11" t="s">
        <v>78</v>
      </c>
      <c r="D274" s="158">
        <v>4138</v>
      </c>
      <c r="E274" s="142"/>
      <c r="F274" s="142"/>
      <c r="G274" s="159">
        <v>4180</v>
      </c>
      <c r="H274" s="93">
        <f t="shared" si="7"/>
        <v>0.00011800242446990868</v>
      </c>
    </row>
    <row r="275" spans="1:8" ht="12.75">
      <c r="A275" s="251"/>
      <c r="B275" s="45">
        <v>4440</v>
      </c>
      <c r="C275" s="46" t="s">
        <v>69</v>
      </c>
      <c r="D275" s="136">
        <v>105670</v>
      </c>
      <c r="E275" s="137"/>
      <c r="F275" s="137"/>
      <c r="G275" s="138">
        <v>106128</v>
      </c>
      <c r="H275" s="93">
        <f t="shared" si="7"/>
        <v>0.002996019450751787</v>
      </c>
    </row>
    <row r="276" spans="1:8" ht="36">
      <c r="A276" s="76"/>
      <c r="B276" s="45">
        <v>4700</v>
      </c>
      <c r="C276" s="11" t="s">
        <v>249</v>
      </c>
      <c r="D276" s="136">
        <v>1000</v>
      </c>
      <c r="E276" s="137"/>
      <c r="F276" s="137"/>
      <c r="G276" s="138">
        <v>1000</v>
      </c>
      <c r="H276" s="93">
        <f t="shared" si="7"/>
        <v>2.82302450884949E-05</v>
      </c>
    </row>
    <row r="277" spans="1:8" ht="36">
      <c r="A277" s="76"/>
      <c r="B277" s="10">
        <v>4740</v>
      </c>
      <c r="C277" s="11" t="s">
        <v>246</v>
      </c>
      <c r="D277" s="158">
        <v>2200</v>
      </c>
      <c r="E277" s="142"/>
      <c r="F277" s="142"/>
      <c r="G277" s="159">
        <v>2223</v>
      </c>
      <c r="H277" s="93">
        <f t="shared" si="7"/>
        <v>6.275583483172417E-05</v>
      </c>
    </row>
    <row r="278" spans="1:8" ht="36">
      <c r="A278" s="76"/>
      <c r="B278" s="79">
        <v>4750</v>
      </c>
      <c r="C278" s="11" t="s">
        <v>310</v>
      </c>
      <c r="D278" s="158">
        <v>5000</v>
      </c>
      <c r="E278" s="142"/>
      <c r="F278" s="142"/>
      <c r="G278" s="159">
        <v>5080</v>
      </c>
      <c r="H278" s="93">
        <f t="shared" si="7"/>
        <v>0.0001434096450495541</v>
      </c>
    </row>
    <row r="279" spans="1:8" ht="24.75" thickBot="1">
      <c r="A279" s="76"/>
      <c r="B279" s="47">
        <v>6060</v>
      </c>
      <c r="C279" s="80" t="s">
        <v>263</v>
      </c>
      <c r="D279" s="172">
        <v>0</v>
      </c>
      <c r="E279" s="173"/>
      <c r="F279" s="173"/>
      <c r="G279" s="174">
        <v>5000</v>
      </c>
      <c r="H279" s="93">
        <f t="shared" si="7"/>
        <v>0.0001411512254424745</v>
      </c>
    </row>
    <row r="280" spans="1:9" ht="15" thickBot="1" thickTop="1">
      <c r="A280" s="228" t="s">
        <v>34</v>
      </c>
      <c r="B280" s="229"/>
      <c r="C280" s="229"/>
      <c r="D280" s="139">
        <f>SUM(D259:D279)</f>
        <v>2539055</v>
      </c>
      <c r="E280" s="139">
        <f>SUM(E259:E275)</f>
        <v>0</v>
      </c>
      <c r="F280" s="139">
        <f>SUM(F259:F275)</f>
        <v>0</v>
      </c>
      <c r="G280" s="140">
        <f>SUM(G259:G279)</f>
        <v>2523000</v>
      </c>
      <c r="H280" s="91">
        <f>G280/G623</f>
        <v>0.07122490835827264</v>
      </c>
      <c r="I280" t="s">
        <v>236</v>
      </c>
    </row>
    <row r="281" spans="1:8" ht="14.25" thickTop="1">
      <c r="A281" s="250">
        <v>80130</v>
      </c>
      <c r="B281" s="288" t="s">
        <v>53</v>
      </c>
      <c r="C281" s="289"/>
      <c r="D281" s="289"/>
      <c r="E281" s="289"/>
      <c r="F281" s="289"/>
      <c r="G281" s="289"/>
      <c r="H281" s="290"/>
    </row>
    <row r="282" spans="1:8" ht="48">
      <c r="A282" s="251"/>
      <c r="B282" s="13">
        <v>2320</v>
      </c>
      <c r="C282" s="14" t="s">
        <v>313</v>
      </c>
      <c r="D282" s="158">
        <v>33600</v>
      </c>
      <c r="E282" s="142"/>
      <c r="F282" s="142"/>
      <c r="G282" s="159">
        <v>42000</v>
      </c>
      <c r="H282" s="93">
        <f>G282/$G$623</f>
        <v>0.001185670293716786</v>
      </c>
    </row>
    <row r="283" spans="1:8" ht="24">
      <c r="A283" s="251"/>
      <c r="B283" s="13">
        <v>3020</v>
      </c>
      <c r="C283" s="11" t="s">
        <v>200</v>
      </c>
      <c r="D283" s="158">
        <v>97700</v>
      </c>
      <c r="E283" s="142"/>
      <c r="F283" s="142"/>
      <c r="G283" s="159">
        <v>92500</v>
      </c>
      <c r="H283" s="93">
        <f aca="true" t="shared" si="8" ref="H283:H306">G283/$G$623</f>
        <v>0.0026112976706857785</v>
      </c>
    </row>
    <row r="284" spans="1:8" ht="24">
      <c r="A284" s="251"/>
      <c r="B284" s="10">
        <v>4010</v>
      </c>
      <c r="C284" s="11" t="s">
        <v>295</v>
      </c>
      <c r="D284" s="158">
        <v>3801218</v>
      </c>
      <c r="E284" s="142"/>
      <c r="F284" s="142"/>
      <c r="G284" s="159">
        <v>3880800</v>
      </c>
      <c r="H284" s="93">
        <f t="shared" si="8"/>
        <v>0.10955593513943102</v>
      </c>
    </row>
    <row r="285" spans="1:8" ht="12.75" customHeight="1">
      <c r="A285" s="251"/>
      <c r="B285" s="10">
        <v>4040</v>
      </c>
      <c r="C285" s="11" t="s">
        <v>82</v>
      </c>
      <c r="D285" s="158">
        <v>291066</v>
      </c>
      <c r="E285" s="142"/>
      <c r="F285" s="142"/>
      <c r="G285" s="159">
        <v>309000</v>
      </c>
      <c r="H285" s="93">
        <f t="shared" si="8"/>
        <v>0.008723145732344924</v>
      </c>
    </row>
    <row r="286" spans="1:8" ht="15" customHeight="1">
      <c r="A286" s="251"/>
      <c r="B286" s="10">
        <v>4110</v>
      </c>
      <c r="C286" s="11" t="s">
        <v>81</v>
      </c>
      <c r="D286" s="158">
        <v>687600</v>
      </c>
      <c r="E286" s="142"/>
      <c r="F286" s="142"/>
      <c r="G286" s="159">
        <v>635200</v>
      </c>
      <c r="H286" s="93">
        <f t="shared" si="8"/>
        <v>0.017931851680211962</v>
      </c>
    </row>
    <row r="287" spans="1:8" ht="12.75" customHeight="1">
      <c r="A287" s="251"/>
      <c r="B287" s="10">
        <v>4120</v>
      </c>
      <c r="C287" s="11" t="s">
        <v>80</v>
      </c>
      <c r="D287" s="158">
        <v>95050</v>
      </c>
      <c r="E287" s="142"/>
      <c r="F287" s="142"/>
      <c r="G287" s="159">
        <v>102950</v>
      </c>
      <c r="H287" s="93">
        <f t="shared" si="8"/>
        <v>0.0029063037318605503</v>
      </c>
    </row>
    <row r="288" spans="1:8" ht="12.75" customHeight="1">
      <c r="A288" s="251"/>
      <c r="B288" s="10">
        <v>4140</v>
      </c>
      <c r="C288" s="11" t="s">
        <v>83</v>
      </c>
      <c r="D288" s="158">
        <v>0</v>
      </c>
      <c r="E288" s="142"/>
      <c r="F288" s="142"/>
      <c r="G288" s="159">
        <v>21900</v>
      </c>
      <c r="H288" s="93">
        <f t="shared" si="8"/>
        <v>0.0006182423674380384</v>
      </c>
    </row>
    <row r="289" spans="1:8" ht="12.75" customHeight="1">
      <c r="A289" s="251"/>
      <c r="B289" s="10">
        <v>4170</v>
      </c>
      <c r="C289" s="11" t="s">
        <v>192</v>
      </c>
      <c r="D289" s="158">
        <v>8259</v>
      </c>
      <c r="E289" s="142"/>
      <c r="F289" s="142"/>
      <c r="G289" s="159">
        <v>5200</v>
      </c>
      <c r="H289" s="93">
        <f t="shared" si="8"/>
        <v>0.0001467972744601735</v>
      </c>
    </row>
    <row r="290" spans="1:8" ht="12.75" customHeight="1">
      <c r="A290" s="251"/>
      <c r="B290" s="10">
        <v>4210</v>
      </c>
      <c r="C290" s="11" t="s">
        <v>64</v>
      </c>
      <c r="D290" s="158">
        <v>274332</v>
      </c>
      <c r="E290" s="142"/>
      <c r="F290" s="142"/>
      <c r="G290" s="159">
        <v>329250</v>
      </c>
      <c r="H290" s="93">
        <f t="shared" si="8"/>
        <v>0.009294808195386946</v>
      </c>
    </row>
    <row r="291" spans="1:8" ht="12.75" customHeight="1">
      <c r="A291" s="251"/>
      <c r="B291" s="10">
        <v>4230</v>
      </c>
      <c r="C291" s="11" t="s">
        <v>89</v>
      </c>
      <c r="D291" s="158">
        <v>500</v>
      </c>
      <c r="E291" s="142"/>
      <c r="F291" s="142"/>
      <c r="G291" s="159">
        <v>500</v>
      </c>
      <c r="H291" s="93">
        <f t="shared" si="8"/>
        <v>1.411512254424745E-05</v>
      </c>
    </row>
    <row r="292" spans="1:8" ht="12.75" customHeight="1">
      <c r="A292" s="251"/>
      <c r="B292" s="42" t="s">
        <v>96</v>
      </c>
      <c r="C292" s="11" t="s">
        <v>97</v>
      </c>
      <c r="D292" s="158">
        <v>35198</v>
      </c>
      <c r="E292" s="142"/>
      <c r="F292" s="142"/>
      <c r="G292" s="159">
        <v>24500</v>
      </c>
      <c r="H292" s="93">
        <f t="shared" si="8"/>
        <v>0.000691641004668125</v>
      </c>
    </row>
    <row r="293" spans="1:8" ht="12.75" customHeight="1">
      <c r="A293" s="251"/>
      <c r="B293" s="10">
        <v>4260</v>
      </c>
      <c r="C293" s="11" t="s">
        <v>65</v>
      </c>
      <c r="D293" s="158">
        <v>143025</v>
      </c>
      <c r="E293" s="142"/>
      <c r="F293" s="142"/>
      <c r="G293" s="159">
        <v>138900</v>
      </c>
      <c r="H293" s="93">
        <f t="shared" si="8"/>
        <v>0.003921181042791942</v>
      </c>
    </row>
    <row r="294" spans="1:8" ht="12.75" customHeight="1">
      <c r="A294" s="251"/>
      <c r="B294" s="10">
        <v>4270</v>
      </c>
      <c r="C294" s="11" t="s">
        <v>66</v>
      </c>
      <c r="D294" s="158">
        <v>30000</v>
      </c>
      <c r="E294" s="142"/>
      <c r="F294" s="142"/>
      <c r="G294" s="159">
        <v>88500</v>
      </c>
      <c r="H294" s="93">
        <f t="shared" si="8"/>
        <v>0.0024983766903317987</v>
      </c>
    </row>
    <row r="295" spans="1:8" ht="12.75" customHeight="1">
      <c r="A295" s="251"/>
      <c r="B295" s="42" t="s">
        <v>98</v>
      </c>
      <c r="C295" s="11" t="s">
        <v>99</v>
      </c>
      <c r="D295" s="158">
        <v>3125</v>
      </c>
      <c r="E295" s="142"/>
      <c r="F295" s="142"/>
      <c r="G295" s="159">
        <v>2200</v>
      </c>
      <c r="H295" s="93">
        <f t="shared" si="8"/>
        <v>6.210653919468878E-05</v>
      </c>
    </row>
    <row r="296" spans="1:8" ht="12.75" customHeight="1">
      <c r="A296" s="251"/>
      <c r="B296" s="10">
        <v>4300</v>
      </c>
      <c r="C296" s="11" t="s">
        <v>60</v>
      </c>
      <c r="D296" s="158">
        <v>110795</v>
      </c>
      <c r="E296" s="142"/>
      <c r="F296" s="142"/>
      <c r="G296" s="159">
        <v>107300</v>
      </c>
      <c r="H296" s="93">
        <f t="shared" si="8"/>
        <v>0.003029105297995503</v>
      </c>
    </row>
    <row r="297" spans="1:8" ht="24">
      <c r="A297" s="251"/>
      <c r="B297" s="10">
        <v>4350</v>
      </c>
      <c r="C297" s="11" t="s">
        <v>255</v>
      </c>
      <c r="D297" s="158">
        <v>9228</v>
      </c>
      <c r="E297" s="142"/>
      <c r="F297" s="142"/>
      <c r="G297" s="159">
        <v>7200</v>
      </c>
      <c r="H297" s="93">
        <f t="shared" si="8"/>
        <v>0.0002032577646371633</v>
      </c>
    </row>
    <row r="298" spans="1:8" ht="36">
      <c r="A298" s="251"/>
      <c r="B298" s="10">
        <v>4360</v>
      </c>
      <c r="C298" s="11" t="s">
        <v>272</v>
      </c>
      <c r="D298" s="158">
        <v>4166</v>
      </c>
      <c r="E298" s="142"/>
      <c r="F298" s="142"/>
      <c r="G298" s="159">
        <v>3900</v>
      </c>
      <c r="H298" s="93">
        <f t="shared" si="8"/>
        <v>0.00011009795584513012</v>
      </c>
    </row>
    <row r="299" spans="1:8" ht="36">
      <c r="A299" s="251"/>
      <c r="B299" s="10">
        <v>4370</v>
      </c>
      <c r="C299" s="11" t="s">
        <v>314</v>
      </c>
      <c r="D299" s="158">
        <v>25340</v>
      </c>
      <c r="E299" s="142"/>
      <c r="F299" s="142"/>
      <c r="G299" s="159">
        <v>21100</v>
      </c>
      <c r="H299" s="93">
        <f t="shared" si="8"/>
        <v>0.0005956581713672424</v>
      </c>
    </row>
    <row r="300" spans="1:8" ht="12.75" customHeight="1">
      <c r="A300" s="251"/>
      <c r="B300" s="10">
        <v>4410</v>
      </c>
      <c r="C300" s="11" t="s">
        <v>308</v>
      </c>
      <c r="D300" s="158">
        <v>14200</v>
      </c>
      <c r="E300" s="142"/>
      <c r="F300" s="142"/>
      <c r="G300" s="159">
        <v>11400</v>
      </c>
      <c r="H300" s="93">
        <f t="shared" si="8"/>
        <v>0.00032182479400884187</v>
      </c>
    </row>
    <row r="301" spans="1:8" ht="12.75" customHeight="1">
      <c r="A301" s="251"/>
      <c r="B301" s="10">
        <v>4430</v>
      </c>
      <c r="C301" s="11" t="s">
        <v>78</v>
      </c>
      <c r="D301" s="158">
        <v>21012</v>
      </c>
      <c r="E301" s="142"/>
      <c r="F301" s="142"/>
      <c r="G301" s="159">
        <v>28200</v>
      </c>
      <c r="H301" s="93">
        <f t="shared" si="8"/>
        <v>0.0007960929114955562</v>
      </c>
    </row>
    <row r="302" spans="1:8" ht="12.75" customHeight="1">
      <c r="A302" s="251"/>
      <c r="B302" s="10">
        <v>4440</v>
      </c>
      <c r="C302" s="11" t="s">
        <v>69</v>
      </c>
      <c r="D302" s="158">
        <v>229400</v>
      </c>
      <c r="E302" s="142"/>
      <c r="F302" s="142"/>
      <c r="G302" s="159">
        <v>228410</v>
      </c>
      <c r="H302" s="93">
        <f t="shared" si="8"/>
        <v>0.0064480702806631205</v>
      </c>
    </row>
    <row r="303" spans="1:8" ht="36">
      <c r="A303" s="251"/>
      <c r="B303" s="10">
        <v>4700</v>
      </c>
      <c r="C303" s="11" t="s">
        <v>315</v>
      </c>
      <c r="D303" s="158">
        <v>1000</v>
      </c>
      <c r="E303" s="142"/>
      <c r="F303" s="142"/>
      <c r="G303" s="159">
        <v>1000</v>
      </c>
      <c r="H303" s="93">
        <f t="shared" si="8"/>
        <v>2.82302450884949E-05</v>
      </c>
    </row>
    <row r="304" spans="1:8" ht="36">
      <c r="A304" s="251"/>
      <c r="B304" s="10">
        <v>4740</v>
      </c>
      <c r="C304" s="11" t="s">
        <v>246</v>
      </c>
      <c r="D304" s="158">
        <v>10200</v>
      </c>
      <c r="E304" s="142"/>
      <c r="F304" s="142"/>
      <c r="G304" s="159">
        <v>10600</v>
      </c>
      <c r="H304" s="93">
        <f t="shared" si="8"/>
        <v>0.00029924059793804596</v>
      </c>
    </row>
    <row r="305" spans="1:8" ht="27" customHeight="1">
      <c r="A305" s="251"/>
      <c r="B305" s="10">
        <v>4750</v>
      </c>
      <c r="C305" s="80" t="s">
        <v>310</v>
      </c>
      <c r="D305" s="158">
        <v>6500</v>
      </c>
      <c r="E305" s="142"/>
      <c r="F305" s="142"/>
      <c r="G305" s="159">
        <v>10500</v>
      </c>
      <c r="H305" s="93">
        <f t="shared" si="8"/>
        <v>0.0002964175734291965</v>
      </c>
    </row>
    <row r="306" spans="1:8" ht="24.75" thickBot="1">
      <c r="A306" s="251"/>
      <c r="B306" s="10">
        <v>6060</v>
      </c>
      <c r="C306" s="46" t="s">
        <v>263</v>
      </c>
      <c r="D306" s="158">
        <v>817385</v>
      </c>
      <c r="E306" s="142"/>
      <c r="F306" s="142"/>
      <c r="G306" s="159">
        <v>255198</v>
      </c>
      <c r="H306" s="93">
        <f t="shared" si="8"/>
        <v>0.007204302086093722</v>
      </c>
    </row>
    <row r="307" spans="1:9" ht="15" thickBot="1" thickTop="1">
      <c r="A307" s="228" t="s">
        <v>54</v>
      </c>
      <c r="B307" s="229"/>
      <c r="C307" s="229"/>
      <c r="D307" s="139">
        <f>SUM(D282:D306)</f>
        <v>6749899</v>
      </c>
      <c r="E307" s="139">
        <f>SUM(E282:E306)</f>
        <v>0</v>
      </c>
      <c r="F307" s="139">
        <f>SUM(F282:F306)</f>
        <v>0</v>
      </c>
      <c r="G307" s="140">
        <f>SUM(G282:G306)</f>
        <v>6358208</v>
      </c>
      <c r="H307" s="91">
        <f>G307/G623</f>
        <v>0.179493770163629</v>
      </c>
      <c r="I307" t="s">
        <v>236</v>
      </c>
    </row>
    <row r="308" spans="1:8" ht="14.25" thickTop="1">
      <c r="A308" s="232">
        <v>80134</v>
      </c>
      <c r="B308" s="288" t="s">
        <v>180</v>
      </c>
      <c r="C308" s="289"/>
      <c r="D308" s="289"/>
      <c r="E308" s="289"/>
      <c r="F308" s="289"/>
      <c r="G308" s="289"/>
      <c r="H308" s="290"/>
    </row>
    <row r="309" spans="1:8" ht="24">
      <c r="A309" s="232"/>
      <c r="B309" s="13">
        <v>3020</v>
      </c>
      <c r="C309" s="11" t="s">
        <v>200</v>
      </c>
      <c r="D309" s="158">
        <v>12400</v>
      </c>
      <c r="E309" s="142"/>
      <c r="F309" s="142"/>
      <c r="G309" s="159">
        <v>14500</v>
      </c>
      <c r="H309" s="93">
        <f>G309/$G$623</f>
        <v>0.0004093385537831761</v>
      </c>
    </row>
    <row r="310" spans="1:8" ht="24">
      <c r="A310" s="232"/>
      <c r="B310" s="10">
        <v>4010</v>
      </c>
      <c r="C310" s="11" t="s">
        <v>316</v>
      </c>
      <c r="D310" s="158">
        <v>349435</v>
      </c>
      <c r="E310" s="142"/>
      <c r="F310" s="142"/>
      <c r="G310" s="159">
        <v>397700</v>
      </c>
      <c r="H310" s="93">
        <f aca="true" t="shared" si="9" ref="H310:H320">G310/$G$623</f>
        <v>0.011227168471694422</v>
      </c>
    </row>
    <row r="311" spans="1:8" ht="12.75">
      <c r="A311" s="232"/>
      <c r="B311" s="10">
        <v>4040</v>
      </c>
      <c r="C311" s="11" t="s">
        <v>82</v>
      </c>
      <c r="D311" s="158">
        <v>21388</v>
      </c>
      <c r="E311" s="142"/>
      <c r="F311" s="142"/>
      <c r="G311" s="159">
        <v>30000</v>
      </c>
      <c r="H311" s="93">
        <f t="shared" si="9"/>
        <v>0.0008469073526548471</v>
      </c>
    </row>
    <row r="312" spans="1:8" ht="14.25" customHeight="1">
      <c r="A312" s="232"/>
      <c r="B312" s="10">
        <v>4110</v>
      </c>
      <c r="C312" s="11" t="s">
        <v>81</v>
      </c>
      <c r="D312" s="158">
        <v>67751</v>
      </c>
      <c r="E312" s="142"/>
      <c r="F312" s="142"/>
      <c r="G312" s="159">
        <v>61000</v>
      </c>
      <c r="H312" s="93">
        <f t="shared" si="9"/>
        <v>0.001722044950398189</v>
      </c>
    </row>
    <row r="313" spans="1:8" ht="12.75">
      <c r="A313" s="232"/>
      <c r="B313" s="10">
        <v>4120</v>
      </c>
      <c r="C313" s="11" t="s">
        <v>80</v>
      </c>
      <c r="D313" s="158">
        <v>10000</v>
      </c>
      <c r="E313" s="142"/>
      <c r="F313" s="142"/>
      <c r="G313" s="159">
        <v>9750</v>
      </c>
      <c r="H313" s="93">
        <f t="shared" si="9"/>
        <v>0.0002752448896128253</v>
      </c>
    </row>
    <row r="314" spans="1:8" ht="12.75">
      <c r="A314" s="232"/>
      <c r="B314" s="10">
        <v>4210</v>
      </c>
      <c r="C314" s="11" t="s">
        <v>64</v>
      </c>
      <c r="D314" s="158">
        <v>10000</v>
      </c>
      <c r="E314" s="142"/>
      <c r="F314" s="142"/>
      <c r="G314" s="159">
        <v>15500</v>
      </c>
      <c r="H314" s="93">
        <f t="shared" si="9"/>
        <v>0.00043756879887167096</v>
      </c>
    </row>
    <row r="315" spans="1:8" ht="12.75">
      <c r="A315" s="232"/>
      <c r="B315" s="10">
        <v>4240</v>
      </c>
      <c r="C315" s="11" t="s">
        <v>97</v>
      </c>
      <c r="D315" s="158">
        <v>1200</v>
      </c>
      <c r="E315" s="142"/>
      <c r="F315" s="142"/>
      <c r="G315" s="159">
        <v>2600</v>
      </c>
      <c r="H315" s="93">
        <f t="shared" si="9"/>
        <v>7.339863723008675E-05</v>
      </c>
    </row>
    <row r="316" spans="1:8" ht="12.75">
      <c r="A316" s="232"/>
      <c r="B316" s="10">
        <v>4260</v>
      </c>
      <c r="C316" s="11" t="s">
        <v>126</v>
      </c>
      <c r="D316" s="158">
        <v>2400</v>
      </c>
      <c r="E316" s="142"/>
      <c r="F316" s="142"/>
      <c r="G316" s="159">
        <v>2400</v>
      </c>
      <c r="H316" s="93">
        <f t="shared" si="9"/>
        <v>6.775258821238776E-05</v>
      </c>
    </row>
    <row r="317" spans="1:8" ht="12.75">
      <c r="A317" s="232"/>
      <c r="B317" s="10">
        <v>4300</v>
      </c>
      <c r="C317" s="11" t="s">
        <v>79</v>
      </c>
      <c r="D317" s="158">
        <v>1500</v>
      </c>
      <c r="E317" s="142"/>
      <c r="F317" s="142"/>
      <c r="G317" s="159">
        <v>2200</v>
      </c>
      <c r="H317" s="93">
        <f t="shared" si="9"/>
        <v>6.210653919468878E-05</v>
      </c>
    </row>
    <row r="318" spans="1:8" ht="12.75">
      <c r="A318" s="232"/>
      <c r="B318" s="10">
        <v>4410</v>
      </c>
      <c r="C318" s="11" t="s">
        <v>121</v>
      </c>
      <c r="D318" s="158">
        <v>81</v>
      </c>
      <c r="E318" s="142"/>
      <c r="F318" s="142"/>
      <c r="G318" s="159">
        <v>100</v>
      </c>
      <c r="H318" s="93">
        <f t="shared" si="9"/>
        <v>2.82302450884949E-06</v>
      </c>
    </row>
    <row r="319" spans="1:8" ht="12.75">
      <c r="A319" s="232"/>
      <c r="B319" s="10">
        <v>4440</v>
      </c>
      <c r="C319" s="11" t="s">
        <v>69</v>
      </c>
      <c r="D319" s="158">
        <v>18300</v>
      </c>
      <c r="E319" s="142"/>
      <c r="F319" s="142"/>
      <c r="G319" s="159">
        <v>18800</v>
      </c>
      <c r="H319" s="93">
        <f t="shared" si="9"/>
        <v>0.0005307286076637041</v>
      </c>
    </row>
    <row r="320" spans="1:8" ht="24.75" thickBot="1">
      <c r="A320" s="232"/>
      <c r="B320" s="10">
        <v>6060</v>
      </c>
      <c r="C320" s="46" t="s">
        <v>263</v>
      </c>
      <c r="D320" s="158">
        <v>0</v>
      </c>
      <c r="E320" s="142"/>
      <c r="F320" s="142"/>
      <c r="G320" s="159">
        <v>10000</v>
      </c>
      <c r="H320" s="93">
        <f t="shared" si="9"/>
        <v>0.000282302450884949</v>
      </c>
    </row>
    <row r="321" spans="1:9" ht="15" thickBot="1" thickTop="1">
      <c r="A321" s="228" t="s">
        <v>204</v>
      </c>
      <c r="B321" s="229"/>
      <c r="C321" s="229"/>
      <c r="D321" s="139">
        <f>SUM(D309:D320)</f>
        <v>494455</v>
      </c>
      <c r="E321" s="139">
        <f>SUM(E309:E320)</f>
        <v>0</v>
      </c>
      <c r="F321" s="139">
        <f>SUM(F309:F320)</f>
        <v>0</v>
      </c>
      <c r="G321" s="139">
        <f>SUM(G309:G320)</f>
        <v>564550</v>
      </c>
      <c r="H321" s="91">
        <f>G321/G623</f>
        <v>0.015937384864709796</v>
      </c>
      <c r="I321" t="s">
        <v>236</v>
      </c>
    </row>
    <row r="322" spans="1:8" ht="15" customHeight="1" thickTop="1">
      <c r="A322" s="263" t="s">
        <v>141</v>
      </c>
      <c r="B322" s="235" t="s">
        <v>142</v>
      </c>
      <c r="C322" s="236"/>
      <c r="D322" s="236"/>
      <c r="E322" s="236"/>
      <c r="F322" s="236"/>
      <c r="G322" s="236"/>
      <c r="H322" s="237"/>
    </row>
    <row r="323" spans="1:8" ht="12.75">
      <c r="A323" s="264"/>
      <c r="B323" s="13">
        <v>4300</v>
      </c>
      <c r="C323" s="14" t="s">
        <v>79</v>
      </c>
      <c r="D323" s="186">
        <v>19200</v>
      </c>
      <c r="E323" s="142"/>
      <c r="F323" s="142"/>
      <c r="G323" s="148">
        <v>57290</v>
      </c>
      <c r="H323" s="93">
        <f>G323/G623</f>
        <v>0.001617310741119873</v>
      </c>
    </row>
    <row r="324" spans="1:8" ht="24.75" thickBot="1">
      <c r="A324" s="265"/>
      <c r="B324" s="47">
        <v>3030</v>
      </c>
      <c r="C324" s="48" t="s">
        <v>74</v>
      </c>
      <c r="D324" s="187">
        <v>6740</v>
      </c>
      <c r="E324" s="153"/>
      <c r="F324" s="153"/>
      <c r="G324" s="154">
        <v>10000</v>
      </c>
      <c r="H324" s="95">
        <f>G324/G623</f>
        <v>0.000282302450884949</v>
      </c>
    </row>
    <row r="325" spans="1:9" ht="15" thickBot="1" thickTop="1">
      <c r="A325" s="228" t="s">
        <v>143</v>
      </c>
      <c r="B325" s="229"/>
      <c r="C325" s="229"/>
      <c r="D325" s="139">
        <f>SUM(D323:D324)</f>
        <v>25940</v>
      </c>
      <c r="E325" s="133">
        <f>SUM(E323:E324)</f>
        <v>0</v>
      </c>
      <c r="F325" s="133">
        <f>SUM(F323:F324)</f>
        <v>0</v>
      </c>
      <c r="G325" s="160">
        <f>SUM(G323:G324)</f>
        <v>67290</v>
      </c>
      <c r="H325" s="105">
        <f>G325/G623</f>
        <v>0.0018996131920048218</v>
      </c>
      <c r="I325" t="s">
        <v>236</v>
      </c>
    </row>
    <row r="326" spans="1:8" ht="14.25" thickTop="1">
      <c r="A326" s="282" t="s">
        <v>285</v>
      </c>
      <c r="B326" s="235" t="s">
        <v>286</v>
      </c>
      <c r="C326" s="236"/>
      <c r="D326" s="236"/>
      <c r="E326" s="236"/>
      <c r="F326" s="236"/>
      <c r="G326" s="236"/>
      <c r="H326" s="237"/>
    </row>
    <row r="327" spans="1:8" ht="24">
      <c r="A327" s="264"/>
      <c r="B327" s="13">
        <v>3020</v>
      </c>
      <c r="C327" s="11" t="s">
        <v>200</v>
      </c>
      <c r="D327" s="115">
        <v>0</v>
      </c>
      <c r="E327" s="188"/>
      <c r="F327" s="188"/>
      <c r="G327" s="189">
        <v>7500</v>
      </c>
      <c r="H327" s="310">
        <f>G327/$G$623</f>
        <v>0.00021172683816371177</v>
      </c>
    </row>
    <row r="328" spans="1:8" ht="24">
      <c r="A328" s="284"/>
      <c r="B328" s="117">
        <v>4010</v>
      </c>
      <c r="C328" s="22" t="s">
        <v>295</v>
      </c>
      <c r="D328" s="136">
        <v>0</v>
      </c>
      <c r="E328" s="137"/>
      <c r="F328" s="137"/>
      <c r="G328" s="136">
        <v>131500</v>
      </c>
      <c r="H328" s="310">
        <f aca="true" t="shared" si="10" ref="H328:H339">G328/$G$623</f>
        <v>0.0037122772291370795</v>
      </c>
    </row>
    <row r="329" spans="1:8" ht="12.75">
      <c r="A329" s="284"/>
      <c r="B329" s="10">
        <v>4040</v>
      </c>
      <c r="C329" s="11" t="s">
        <v>82</v>
      </c>
      <c r="D329" s="136">
        <v>0</v>
      </c>
      <c r="E329" s="137"/>
      <c r="F329" s="137"/>
      <c r="G329" s="136">
        <v>9000</v>
      </c>
      <c r="H329" s="310">
        <f t="shared" si="10"/>
        <v>0.00025407220579645414</v>
      </c>
    </row>
    <row r="330" spans="1:8" ht="24">
      <c r="A330" s="284"/>
      <c r="B330" s="10">
        <v>4110</v>
      </c>
      <c r="C330" s="11" t="s">
        <v>81</v>
      </c>
      <c r="D330" s="136">
        <v>0</v>
      </c>
      <c r="E330" s="137"/>
      <c r="F330" s="137"/>
      <c r="G330" s="136">
        <v>18850</v>
      </c>
      <c r="H330" s="310">
        <f t="shared" si="10"/>
        <v>0.0005321401199181289</v>
      </c>
    </row>
    <row r="331" spans="1:8" ht="12.75">
      <c r="A331" s="284"/>
      <c r="B331" s="10">
        <v>4120</v>
      </c>
      <c r="C331" s="11" t="s">
        <v>80</v>
      </c>
      <c r="D331" s="136">
        <v>0</v>
      </c>
      <c r="E331" s="137"/>
      <c r="F331" s="137"/>
      <c r="G331" s="136">
        <v>3040</v>
      </c>
      <c r="H331" s="310">
        <f t="shared" si="10"/>
        <v>8.58199450690245E-05</v>
      </c>
    </row>
    <row r="332" spans="1:8" ht="12.75">
      <c r="A332" s="284"/>
      <c r="B332" s="45">
        <v>4210</v>
      </c>
      <c r="C332" s="11" t="s">
        <v>287</v>
      </c>
      <c r="D332" s="136">
        <v>0</v>
      </c>
      <c r="E332" s="137"/>
      <c r="F332" s="137"/>
      <c r="G332" s="136">
        <v>8850</v>
      </c>
      <c r="H332" s="310">
        <f t="shared" si="10"/>
        <v>0.00024983766903317986</v>
      </c>
    </row>
    <row r="333" spans="1:8" ht="12.75">
      <c r="A333" s="284"/>
      <c r="B333" s="45">
        <v>4220</v>
      </c>
      <c r="C333" s="11" t="s">
        <v>90</v>
      </c>
      <c r="D333" s="136">
        <v>0</v>
      </c>
      <c r="E333" s="137"/>
      <c r="F333" s="137"/>
      <c r="G333" s="136">
        <v>294425</v>
      </c>
      <c r="H333" s="310">
        <f t="shared" si="10"/>
        <v>0.00831168991018011</v>
      </c>
    </row>
    <row r="334" spans="1:8" ht="12.75">
      <c r="A334" s="284"/>
      <c r="B334" s="45">
        <v>4260</v>
      </c>
      <c r="C334" s="11" t="s">
        <v>126</v>
      </c>
      <c r="D334" s="136">
        <v>0</v>
      </c>
      <c r="E334" s="137"/>
      <c r="F334" s="137"/>
      <c r="G334" s="136">
        <v>17600</v>
      </c>
      <c r="H334" s="310">
        <f t="shared" si="10"/>
        <v>0.0004968523135575102</v>
      </c>
    </row>
    <row r="335" spans="1:8" ht="12.75">
      <c r="A335" s="284"/>
      <c r="B335" s="45">
        <v>4270</v>
      </c>
      <c r="C335" s="11" t="s">
        <v>127</v>
      </c>
      <c r="D335" s="136">
        <v>0</v>
      </c>
      <c r="E335" s="137"/>
      <c r="F335" s="137"/>
      <c r="G335" s="136">
        <v>2900</v>
      </c>
      <c r="H335" s="310">
        <f t="shared" si="10"/>
        <v>8.186771075663522E-05</v>
      </c>
    </row>
    <row r="336" spans="1:8" ht="12.75">
      <c r="A336" s="284"/>
      <c r="B336" s="45">
        <v>4280</v>
      </c>
      <c r="C336" s="11" t="s">
        <v>126</v>
      </c>
      <c r="D336" s="136">
        <v>0</v>
      </c>
      <c r="E336" s="137"/>
      <c r="F336" s="137"/>
      <c r="G336" s="136">
        <v>100</v>
      </c>
      <c r="H336" s="310">
        <f t="shared" si="10"/>
        <v>2.82302450884949E-06</v>
      </c>
    </row>
    <row r="337" spans="1:8" ht="12.75">
      <c r="A337" s="284"/>
      <c r="B337" s="45">
        <v>4300</v>
      </c>
      <c r="C337" s="14" t="s">
        <v>79</v>
      </c>
      <c r="D337" s="136">
        <v>0</v>
      </c>
      <c r="E337" s="137"/>
      <c r="F337" s="137"/>
      <c r="G337" s="136">
        <v>8100</v>
      </c>
      <c r="H337" s="310">
        <f t="shared" si="10"/>
        <v>0.0002286649852168087</v>
      </c>
    </row>
    <row r="338" spans="1:8" ht="12.75">
      <c r="A338" s="284"/>
      <c r="B338" s="10">
        <v>4440</v>
      </c>
      <c r="C338" s="11" t="s">
        <v>69</v>
      </c>
      <c r="D338" s="136">
        <v>0</v>
      </c>
      <c r="E338" s="137"/>
      <c r="F338" s="137"/>
      <c r="G338" s="136">
        <v>6170</v>
      </c>
      <c r="H338" s="310">
        <f t="shared" si="10"/>
        <v>0.00017418061219601354</v>
      </c>
    </row>
    <row r="339" spans="1:8" ht="36.75" thickBot="1">
      <c r="A339" s="284"/>
      <c r="B339" s="45">
        <v>4740</v>
      </c>
      <c r="C339" s="46" t="s">
        <v>288</v>
      </c>
      <c r="D339" s="136">
        <v>0</v>
      </c>
      <c r="E339" s="137"/>
      <c r="F339" s="137"/>
      <c r="G339" s="313">
        <v>150</v>
      </c>
      <c r="H339" s="312">
        <f t="shared" si="10"/>
        <v>4.234536763274235E-06</v>
      </c>
    </row>
    <row r="340" spans="1:8" ht="15" thickBot="1" thickTop="1">
      <c r="A340" s="228" t="s">
        <v>289</v>
      </c>
      <c r="B340" s="229"/>
      <c r="C340" s="229"/>
      <c r="D340" s="139">
        <f>SUM(D328:D339)</f>
        <v>0</v>
      </c>
      <c r="E340" s="139">
        <f>SUM(E328:E339)</f>
        <v>0</v>
      </c>
      <c r="F340" s="139">
        <f>SUM(F328:F339)</f>
        <v>0</v>
      </c>
      <c r="G340" s="311">
        <f>SUM(G327:G339)</f>
        <v>508185</v>
      </c>
      <c r="H340" s="105">
        <f>G340/G623</f>
        <v>0.014346187100296781</v>
      </c>
    </row>
    <row r="341" spans="1:8" ht="15" customHeight="1" thickTop="1">
      <c r="A341" s="282" t="s">
        <v>55</v>
      </c>
      <c r="B341" s="235" t="s">
        <v>56</v>
      </c>
      <c r="C341" s="236"/>
      <c r="D341" s="236"/>
      <c r="E341" s="236"/>
      <c r="F341" s="236"/>
      <c r="G341" s="236"/>
      <c r="H341" s="237"/>
    </row>
    <row r="342" spans="1:8" ht="36">
      <c r="A342" s="264"/>
      <c r="B342" s="45">
        <v>2540</v>
      </c>
      <c r="C342" s="14" t="s">
        <v>290</v>
      </c>
      <c r="D342" s="115">
        <v>0</v>
      </c>
      <c r="E342" s="188"/>
      <c r="F342" s="188"/>
      <c r="G342" s="189">
        <v>23870</v>
      </c>
      <c r="H342" s="310">
        <f>G342/$G$623</f>
        <v>0.0006738559502623734</v>
      </c>
    </row>
    <row r="343" spans="1:8" ht="48">
      <c r="A343" s="284"/>
      <c r="B343" s="45">
        <v>2330</v>
      </c>
      <c r="C343" s="14" t="s">
        <v>273</v>
      </c>
      <c r="D343" s="136">
        <v>42600</v>
      </c>
      <c r="E343" s="137"/>
      <c r="F343" s="137"/>
      <c r="G343" s="136">
        <v>24000</v>
      </c>
      <c r="H343" s="310">
        <f aca="true" t="shared" si="11" ref="H343:H348">G343/$G$623</f>
        <v>0.0006775258821238776</v>
      </c>
    </row>
    <row r="344" spans="1:8" ht="12.75">
      <c r="A344" s="284"/>
      <c r="B344" s="45">
        <v>4170</v>
      </c>
      <c r="C344" s="14" t="s">
        <v>192</v>
      </c>
      <c r="D344" s="136">
        <v>1000</v>
      </c>
      <c r="E344" s="137"/>
      <c r="F344" s="137"/>
      <c r="G344" s="136">
        <v>1000</v>
      </c>
      <c r="H344" s="310">
        <f t="shared" si="11"/>
        <v>2.82302450884949E-05</v>
      </c>
    </row>
    <row r="345" spans="1:8" ht="12.75">
      <c r="A345" s="284"/>
      <c r="B345" s="45">
        <v>4300</v>
      </c>
      <c r="C345" s="14" t="s">
        <v>79</v>
      </c>
      <c r="D345" s="136">
        <v>25600</v>
      </c>
      <c r="E345" s="137"/>
      <c r="F345" s="137"/>
      <c r="G345" s="136">
        <v>0</v>
      </c>
      <c r="H345" s="310">
        <f t="shared" si="11"/>
        <v>0</v>
      </c>
    </row>
    <row r="346" spans="1:8" ht="12.75">
      <c r="A346" s="284"/>
      <c r="B346" s="10">
        <v>4440</v>
      </c>
      <c r="C346" s="11" t="s">
        <v>69</v>
      </c>
      <c r="D346" s="136">
        <v>76778</v>
      </c>
      <c r="E346" s="137"/>
      <c r="F346" s="137"/>
      <c r="G346" s="136">
        <v>81205</v>
      </c>
      <c r="H346" s="310">
        <f t="shared" si="11"/>
        <v>0.0022924370524112286</v>
      </c>
    </row>
    <row r="347" spans="1:8" ht="24">
      <c r="A347" s="284"/>
      <c r="B347" s="45">
        <v>6050</v>
      </c>
      <c r="C347" s="46" t="s">
        <v>250</v>
      </c>
      <c r="D347" s="136">
        <v>0</v>
      </c>
      <c r="E347" s="137"/>
      <c r="F347" s="137"/>
      <c r="G347" s="136">
        <v>2027659</v>
      </c>
      <c r="H347" s="310">
        <f t="shared" si="11"/>
        <v>0.057241310525892486</v>
      </c>
    </row>
    <row r="348" spans="1:8" ht="24.75" thickBot="1">
      <c r="A348" s="284"/>
      <c r="B348" s="45">
        <v>6060</v>
      </c>
      <c r="C348" s="46" t="s">
        <v>263</v>
      </c>
      <c r="D348" s="136">
        <v>891252</v>
      </c>
      <c r="E348" s="137"/>
      <c r="F348" s="137"/>
      <c r="G348" s="313">
        <v>0</v>
      </c>
      <c r="H348" s="314">
        <f t="shared" si="11"/>
        <v>0</v>
      </c>
    </row>
    <row r="349" spans="1:9" ht="15" thickBot="1" thickTop="1">
      <c r="A349" s="228" t="s">
        <v>177</v>
      </c>
      <c r="B349" s="229"/>
      <c r="C349" s="229"/>
      <c r="D349" s="139">
        <f>SUM(D342:D348)</f>
        <v>1037230</v>
      </c>
      <c r="E349" s="139">
        <f>SUM(E342:E348)</f>
        <v>0</v>
      </c>
      <c r="F349" s="139">
        <f>SUM(F342:F348)</f>
        <v>0</v>
      </c>
      <c r="G349" s="139">
        <f>SUM(G342:G348)</f>
        <v>2157734</v>
      </c>
      <c r="H349" s="105">
        <f>G349/G623</f>
        <v>0.06091335965577846</v>
      </c>
      <c r="I349" t="s">
        <v>236</v>
      </c>
    </row>
    <row r="350" spans="1:8" ht="16.5" thickBot="1" thickTop="1">
      <c r="A350" s="230" t="s">
        <v>35</v>
      </c>
      <c r="B350" s="231"/>
      <c r="C350" s="231"/>
      <c r="D350" s="145">
        <f>SUM(D234+D254+D280+D307+D321+D325+D349+D257+D340)</f>
        <v>13257222</v>
      </c>
      <c r="E350" s="145">
        <f>SUM(E234+E254+E280+E307+E321+E325+E349+E257+E340)</f>
        <v>0</v>
      </c>
      <c r="F350" s="145">
        <f>SUM(F234+F254+F280+F307+F321+F325+F349+F257+F340)</f>
        <v>0</v>
      </c>
      <c r="G350" s="145">
        <f>SUM(G234+G254+G280+G307+G321+G325+G349+G257+G340)</f>
        <v>14652767</v>
      </c>
      <c r="H350" s="106">
        <f>G350/G623</f>
        <v>0.41365120363461017</v>
      </c>
    </row>
    <row r="351" spans="1:8" ht="21" thickBot="1" thickTop="1">
      <c r="A351" s="244" t="s">
        <v>208</v>
      </c>
      <c r="B351" s="245"/>
      <c r="C351" s="245"/>
      <c r="D351" s="245"/>
      <c r="E351" s="245"/>
      <c r="F351" s="245"/>
      <c r="G351" s="245"/>
      <c r="H351" s="246"/>
    </row>
    <row r="352" spans="1:8" ht="14.25" thickTop="1">
      <c r="A352" s="270">
        <v>80309</v>
      </c>
      <c r="B352" s="235" t="s">
        <v>209</v>
      </c>
      <c r="C352" s="236"/>
      <c r="D352" s="236"/>
      <c r="E352" s="236"/>
      <c r="F352" s="236"/>
      <c r="G352" s="236"/>
      <c r="H352" s="237"/>
    </row>
    <row r="353" spans="1:8" ht="25.5">
      <c r="A353" s="251"/>
      <c r="B353" s="51">
        <v>3218</v>
      </c>
      <c r="C353" s="50" t="s">
        <v>216</v>
      </c>
      <c r="D353" s="190">
        <v>14700</v>
      </c>
      <c r="E353" s="190"/>
      <c r="F353" s="190"/>
      <c r="G353" s="191">
        <v>0</v>
      </c>
      <c r="H353" s="93">
        <f>G353/D353</f>
        <v>0</v>
      </c>
    </row>
    <row r="354" spans="1:8" ht="25.5">
      <c r="A354" s="251"/>
      <c r="B354" s="51">
        <v>3219</v>
      </c>
      <c r="C354" s="50" t="s">
        <v>216</v>
      </c>
      <c r="D354" s="190">
        <v>4900</v>
      </c>
      <c r="E354" s="190"/>
      <c r="F354" s="190"/>
      <c r="G354" s="191">
        <v>0</v>
      </c>
      <c r="H354" s="93">
        <f>G354/D354</f>
        <v>0</v>
      </c>
    </row>
    <row r="355" spans="1:8" ht="12.75">
      <c r="A355" s="251"/>
      <c r="B355" s="10">
        <v>4218</v>
      </c>
      <c r="C355" s="11" t="s">
        <v>64</v>
      </c>
      <c r="D355" s="181">
        <v>1035</v>
      </c>
      <c r="E355" s="142"/>
      <c r="F355" s="142"/>
      <c r="G355" s="191">
        <v>0</v>
      </c>
      <c r="H355" s="93">
        <f>G355/D355</f>
        <v>0</v>
      </c>
    </row>
    <row r="356" spans="1:8" ht="13.5" thickBot="1">
      <c r="A356" s="251"/>
      <c r="B356" s="79">
        <v>4219</v>
      </c>
      <c r="C356" s="80" t="s">
        <v>64</v>
      </c>
      <c r="D356" s="192">
        <v>345</v>
      </c>
      <c r="E356" s="173"/>
      <c r="F356" s="173"/>
      <c r="G356" s="193">
        <v>0</v>
      </c>
      <c r="H356" s="95">
        <f>G356/D356</f>
        <v>0</v>
      </c>
    </row>
    <row r="357" spans="1:9" ht="15" thickBot="1" thickTop="1">
      <c r="A357" s="228" t="s">
        <v>210</v>
      </c>
      <c r="B357" s="229"/>
      <c r="C357" s="229"/>
      <c r="D357" s="133">
        <f>SUM(D353:D356)</f>
        <v>20980</v>
      </c>
      <c r="E357" s="133">
        <f>SUM(E353:E356)</f>
        <v>0</v>
      </c>
      <c r="F357" s="133">
        <f>SUM(F353:F356)</f>
        <v>0</v>
      </c>
      <c r="G357" s="194">
        <f>SUM(G353:G356)</f>
        <v>0</v>
      </c>
      <c r="H357" s="104">
        <f>G357/D357</f>
        <v>0</v>
      </c>
      <c r="I357" t="s">
        <v>236</v>
      </c>
    </row>
    <row r="358" spans="1:8" ht="16.5" thickBot="1" thickTop="1">
      <c r="A358" s="230" t="s">
        <v>211</v>
      </c>
      <c r="B358" s="231"/>
      <c r="C358" s="231"/>
      <c r="D358" s="145">
        <f>D357</f>
        <v>20980</v>
      </c>
      <c r="E358" s="145">
        <f>E357</f>
        <v>0</v>
      </c>
      <c r="F358" s="145">
        <f>F357</f>
        <v>0</v>
      </c>
      <c r="G358" s="195">
        <f>G357</f>
        <v>0</v>
      </c>
      <c r="H358" s="106">
        <f>G358/D358</f>
        <v>0</v>
      </c>
    </row>
    <row r="359" spans="1:8" ht="21.75" customHeight="1" thickBot="1" thickTop="1">
      <c r="A359" s="244" t="s">
        <v>36</v>
      </c>
      <c r="B359" s="245"/>
      <c r="C359" s="245"/>
      <c r="D359" s="245"/>
      <c r="E359" s="245"/>
      <c r="F359" s="245"/>
      <c r="G359" s="245"/>
      <c r="H359" s="246"/>
    </row>
    <row r="360" spans="1:8" ht="15" customHeight="1" thickTop="1">
      <c r="A360" s="250">
        <v>85111</v>
      </c>
      <c r="B360" s="235" t="s">
        <v>103</v>
      </c>
      <c r="C360" s="236"/>
      <c r="D360" s="236"/>
      <c r="E360" s="236"/>
      <c r="F360" s="236"/>
      <c r="G360" s="236"/>
      <c r="H360" s="237"/>
    </row>
    <row r="361" spans="1:8" ht="24.75" thickBot="1">
      <c r="A361" s="294"/>
      <c r="B361" s="120">
        <v>6060</v>
      </c>
      <c r="C361" s="46" t="s">
        <v>263</v>
      </c>
      <c r="D361" s="196">
        <v>355847</v>
      </c>
      <c r="E361" s="137"/>
      <c r="F361" s="137"/>
      <c r="G361" s="197">
        <v>136247</v>
      </c>
      <c r="H361" s="94">
        <f>G361/G623</f>
        <v>0.0038462862025721647</v>
      </c>
    </row>
    <row r="362" spans="1:8" ht="14.25" thickBot="1" thickTop="1">
      <c r="A362" s="298"/>
      <c r="B362" s="299"/>
      <c r="C362" s="299"/>
      <c r="D362" s="198">
        <f>SUM(D361:D361)</f>
        <v>355847</v>
      </c>
      <c r="E362" s="198">
        <f>SUM(E361:E361)</f>
        <v>0</v>
      </c>
      <c r="F362" s="198">
        <f>SUM(F361:F361)</f>
        <v>0</v>
      </c>
      <c r="G362" s="198">
        <f>SUM(G361:G361)</f>
        <v>136247</v>
      </c>
      <c r="H362" s="104">
        <f>G362/G623</f>
        <v>0.0038462862025721647</v>
      </c>
    </row>
    <row r="363" spans="1:8" ht="15" customHeight="1" thickTop="1">
      <c r="A363" s="296">
        <v>85141</v>
      </c>
      <c r="B363" s="235" t="s">
        <v>274</v>
      </c>
      <c r="C363" s="236"/>
      <c r="D363" s="236"/>
      <c r="E363" s="236"/>
      <c r="F363" s="236"/>
      <c r="G363" s="236"/>
      <c r="H363" s="237"/>
    </row>
    <row r="364" spans="1:8" ht="13.5" thickBot="1">
      <c r="A364" s="297"/>
      <c r="B364" s="120">
        <v>4210</v>
      </c>
      <c r="C364" s="46" t="s">
        <v>64</v>
      </c>
      <c r="D364" s="196">
        <v>1650</v>
      </c>
      <c r="E364" s="137"/>
      <c r="F364" s="137"/>
      <c r="G364" s="197">
        <v>0</v>
      </c>
      <c r="H364" s="94">
        <f>G364/D364</f>
        <v>0</v>
      </c>
    </row>
    <row r="365" spans="1:9" ht="15" thickBot="1" thickTop="1">
      <c r="A365" s="228" t="s">
        <v>104</v>
      </c>
      <c r="B365" s="229"/>
      <c r="C365" s="229"/>
      <c r="D365" s="133">
        <f>SUM(D364:D364)</f>
        <v>1650</v>
      </c>
      <c r="E365" s="133">
        <f>SUM(E364:E364)</f>
        <v>0</v>
      </c>
      <c r="F365" s="133">
        <f>SUM(F364:F364)</f>
        <v>0</v>
      </c>
      <c r="G365" s="160">
        <f>SUM(G364:G364)</f>
        <v>0</v>
      </c>
      <c r="H365" s="104">
        <f>G365/D365</f>
        <v>0</v>
      </c>
      <c r="I365" t="s">
        <v>236</v>
      </c>
    </row>
    <row r="366" spans="1:8" ht="27.75" customHeight="1" thickTop="1">
      <c r="A366" s="227">
        <v>85156</v>
      </c>
      <c r="B366" s="235" t="s">
        <v>128</v>
      </c>
      <c r="C366" s="236"/>
      <c r="D366" s="236"/>
      <c r="E366" s="236"/>
      <c r="F366" s="236"/>
      <c r="G366" s="236"/>
      <c r="H366" s="237"/>
    </row>
    <row r="367" spans="1:8" ht="16.5" customHeight="1" thickBot="1">
      <c r="A367" s="227"/>
      <c r="B367" s="13">
        <v>4130</v>
      </c>
      <c r="C367" s="14" t="s">
        <v>81</v>
      </c>
      <c r="D367" s="147">
        <v>880000</v>
      </c>
      <c r="E367" s="142"/>
      <c r="F367" s="142"/>
      <c r="G367" s="164">
        <v>679000</v>
      </c>
      <c r="H367" s="94">
        <f>G367/G623</f>
        <v>0.019168336415088038</v>
      </c>
    </row>
    <row r="368" spans="1:9" ht="15" thickBot="1" thickTop="1">
      <c r="A368" s="228" t="s">
        <v>106</v>
      </c>
      <c r="B368" s="229"/>
      <c r="C368" s="229"/>
      <c r="D368" s="133">
        <f>SUM(D367:D367)</f>
        <v>880000</v>
      </c>
      <c r="E368" s="133">
        <f>SUM(E367:E367)</f>
        <v>0</v>
      </c>
      <c r="F368" s="133">
        <f>SUM(F367:F367)</f>
        <v>0</v>
      </c>
      <c r="G368" s="133">
        <f>SUM(G367:G367)</f>
        <v>679000</v>
      </c>
      <c r="H368" s="104">
        <f>G368/G623</f>
        <v>0.019168336415088038</v>
      </c>
      <c r="I368" t="s">
        <v>236</v>
      </c>
    </row>
    <row r="369" spans="1:8" ht="16.5" thickBot="1" thickTop="1">
      <c r="A369" s="230" t="s">
        <v>37</v>
      </c>
      <c r="B369" s="231"/>
      <c r="C369" s="231"/>
      <c r="D369" s="145">
        <f>D367+D365+D362</f>
        <v>1237497</v>
      </c>
      <c r="E369" s="145">
        <f>E367+E365+E362</f>
        <v>0</v>
      </c>
      <c r="F369" s="145">
        <f>F367+F365+F362</f>
        <v>0</v>
      </c>
      <c r="G369" s="145">
        <f>G367+G365+G362</f>
        <v>815247</v>
      </c>
      <c r="H369" s="106">
        <f>G369/G623</f>
        <v>0.023014622617660203</v>
      </c>
    </row>
    <row r="370" spans="1:8" ht="21" thickBot="1" thickTop="1">
      <c r="A370" s="244" t="s">
        <v>147</v>
      </c>
      <c r="B370" s="245"/>
      <c r="C370" s="245"/>
      <c r="D370" s="245"/>
      <c r="E370" s="245"/>
      <c r="F370" s="245"/>
      <c r="G370" s="245"/>
      <c r="H370" s="246"/>
    </row>
    <row r="371" spans="1:8" ht="15" customHeight="1" thickTop="1">
      <c r="A371" s="250">
        <v>85201</v>
      </c>
      <c r="B371" s="235" t="s">
        <v>124</v>
      </c>
      <c r="C371" s="236"/>
      <c r="D371" s="236"/>
      <c r="E371" s="236"/>
      <c r="F371" s="236"/>
      <c r="G371" s="236"/>
      <c r="H371" s="237"/>
    </row>
    <row r="372" spans="1:8" ht="48">
      <c r="A372" s="251"/>
      <c r="B372" s="10">
        <v>2320</v>
      </c>
      <c r="C372" s="11" t="s">
        <v>259</v>
      </c>
      <c r="D372" s="158">
        <v>390000</v>
      </c>
      <c r="E372" s="142"/>
      <c r="F372" s="142"/>
      <c r="G372" s="159">
        <v>414581</v>
      </c>
      <c r="H372" s="93">
        <f>G372/$G$623</f>
        <v>0.011703723239033305</v>
      </c>
    </row>
    <row r="373" spans="1:8" ht="30.75" customHeight="1">
      <c r="A373" s="251"/>
      <c r="B373" s="45">
        <v>3020</v>
      </c>
      <c r="C373" s="11" t="s">
        <v>219</v>
      </c>
      <c r="D373" s="136">
        <v>1620</v>
      </c>
      <c r="E373" s="137"/>
      <c r="F373" s="137"/>
      <c r="G373" s="138">
        <v>1740</v>
      </c>
      <c r="H373" s="93">
        <f aca="true" t="shared" si="12" ref="H373:H394">G373/$G$623</f>
        <v>4.912062645398113E-05</v>
      </c>
    </row>
    <row r="374" spans="1:8" ht="12.75" customHeight="1">
      <c r="A374" s="251"/>
      <c r="B374" s="45">
        <v>3110</v>
      </c>
      <c r="C374" s="46" t="s">
        <v>108</v>
      </c>
      <c r="D374" s="136">
        <v>49900</v>
      </c>
      <c r="E374" s="137"/>
      <c r="F374" s="137"/>
      <c r="G374" s="138">
        <v>56434</v>
      </c>
      <c r="H374" s="93">
        <f t="shared" si="12"/>
        <v>0.0015931456513241214</v>
      </c>
    </row>
    <row r="375" spans="1:8" ht="24">
      <c r="A375" s="251"/>
      <c r="B375" s="45">
        <v>4010</v>
      </c>
      <c r="C375" s="46" t="s">
        <v>181</v>
      </c>
      <c r="D375" s="136">
        <v>490657</v>
      </c>
      <c r="E375" s="137"/>
      <c r="F375" s="137"/>
      <c r="G375" s="138">
        <v>545687</v>
      </c>
      <c r="H375" s="93">
        <f t="shared" si="12"/>
        <v>0.015404877751605518</v>
      </c>
    </row>
    <row r="376" spans="1:8" ht="13.5" customHeight="1">
      <c r="A376" s="251"/>
      <c r="B376" s="45">
        <v>4040</v>
      </c>
      <c r="C376" s="46" t="s">
        <v>82</v>
      </c>
      <c r="D376" s="136">
        <v>2400</v>
      </c>
      <c r="E376" s="137"/>
      <c r="F376" s="137"/>
      <c r="G376" s="138">
        <v>38060</v>
      </c>
      <c r="H376" s="93">
        <f t="shared" si="12"/>
        <v>0.001074443128068116</v>
      </c>
    </row>
    <row r="377" spans="1:8" ht="24">
      <c r="A377" s="251"/>
      <c r="B377" s="45">
        <v>4110</v>
      </c>
      <c r="C377" s="46" t="s">
        <v>81</v>
      </c>
      <c r="D377" s="136">
        <v>87230</v>
      </c>
      <c r="E377" s="137"/>
      <c r="F377" s="137"/>
      <c r="G377" s="138">
        <v>91320</v>
      </c>
      <c r="H377" s="93">
        <f t="shared" si="12"/>
        <v>0.0025779859814813546</v>
      </c>
    </row>
    <row r="378" spans="1:8" ht="13.5" customHeight="1">
      <c r="A378" s="251"/>
      <c r="B378" s="45">
        <v>4120</v>
      </c>
      <c r="C378" s="46" t="s">
        <v>80</v>
      </c>
      <c r="D378" s="136">
        <v>12170</v>
      </c>
      <c r="E378" s="137"/>
      <c r="F378" s="137"/>
      <c r="G378" s="138">
        <v>14220</v>
      </c>
      <c r="H378" s="93">
        <f t="shared" si="12"/>
        <v>0.0004014340851583975</v>
      </c>
    </row>
    <row r="379" spans="1:8" ht="13.5" customHeight="1">
      <c r="A379" s="251"/>
      <c r="B379" s="45">
        <v>4170</v>
      </c>
      <c r="C379" s="46" t="s">
        <v>217</v>
      </c>
      <c r="D379" s="136">
        <v>6000</v>
      </c>
      <c r="E379" s="137"/>
      <c r="F379" s="137"/>
      <c r="G379" s="138">
        <v>6000</v>
      </c>
      <c r="H379" s="93">
        <f t="shared" si="12"/>
        <v>0.0001693814705309694</v>
      </c>
    </row>
    <row r="380" spans="1:8" ht="13.5" customHeight="1">
      <c r="A380" s="251"/>
      <c r="B380" s="45">
        <v>4210</v>
      </c>
      <c r="C380" s="46" t="s">
        <v>64</v>
      </c>
      <c r="D380" s="136">
        <v>48670</v>
      </c>
      <c r="E380" s="137"/>
      <c r="F380" s="137"/>
      <c r="G380" s="138">
        <v>54200</v>
      </c>
      <c r="H380" s="93">
        <f t="shared" si="12"/>
        <v>0.0015300792837964236</v>
      </c>
    </row>
    <row r="381" spans="1:8" ht="13.5" customHeight="1">
      <c r="A381" s="251"/>
      <c r="B381" s="45">
        <v>4220</v>
      </c>
      <c r="C381" s="46" t="s">
        <v>224</v>
      </c>
      <c r="D381" s="136">
        <v>18000</v>
      </c>
      <c r="E381" s="137"/>
      <c r="F381" s="137"/>
      <c r="G381" s="138">
        <v>18000</v>
      </c>
      <c r="H381" s="93">
        <f t="shared" si="12"/>
        <v>0.0005081444115929083</v>
      </c>
    </row>
    <row r="382" spans="1:8" ht="13.5" customHeight="1">
      <c r="A382" s="251"/>
      <c r="B382" s="45">
        <v>4230</v>
      </c>
      <c r="C382" s="46" t="s">
        <v>89</v>
      </c>
      <c r="D382" s="136">
        <v>9600</v>
      </c>
      <c r="E382" s="137"/>
      <c r="F382" s="137"/>
      <c r="G382" s="138">
        <v>9600</v>
      </c>
      <c r="H382" s="93">
        <f t="shared" si="12"/>
        <v>0.00027101035284955103</v>
      </c>
    </row>
    <row r="383" spans="1:8" ht="13.5" customHeight="1">
      <c r="A383" s="251"/>
      <c r="B383" s="45">
        <v>4270</v>
      </c>
      <c r="C383" s="46" t="s">
        <v>127</v>
      </c>
      <c r="D383" s="136">
        <v>1200</v>
      </c>
      <c r="E383" s="137"/>
      <c r="F383" s="137"/>
      <c r="G383" s="138">
        <v>1200</v>
      </c>
      <c r="H383" s="93">
        <f t="shared" si="12"/>
        <v>3.387629410619388E-05</v>
      </c>
    </row>
    <row r="384" spans="1:8" ht="13.5" customHeight="1">
      <c r="A384" s="251"/>
      <c r="B384" s="45">
        <v>4280</v>
      </c>
      <c r="C384" s="46" t="s">
        <v>99</v>
      </c>
      <c r="D384" s="136">
        <v>1800</v>
      </c>
      <c r="E384" s="137"/>
      <c r="F384" s="137"/>
      <c r="G384" s="138">
        <v>1800</v>
      </c>
      <c r="H384" s="93">
        <f t="shared" si="12"/>
        <v>5.0814441159290825E-05</v>
      </c>
    </row>
    <row r="385" spans="1:9" ht="13.5" customHeight="1">
      <c r="A385" s="251"/>
      <c r="B385" s="45">
        <v>4300</v>
      </c>
      <c r="C385" s="46" t="s">
        <v>60</v>
      </c>
      <c r="D385" s="136">
        <v>250600</v>
      </c>
      <c r="E385" s="137"/>
      <c r="F385" s="137"/>
      <c r="G385" s="138">
        <v>317200</v>
      </c>
      <c r="H385" s="93">
        <f t="shared" si="12"/>
        <v>0.008954633742070582</v>
      </c>
      <c r="I385" t="s">
        <v>236</v>
      </c>
    </row>
    <row r="386" spans="1:8" ht="24">
      <c r="A386" s="251"/>
      <c r="B386" s="45">
        <v>4350</v>
      </c>
      <c r="C386" s="11" t="s">
        <v>255</v>
      </c>
      <c r="D386" s="136">
        <v>1000</v>
      </c>
      <c r="E386" s="137"/>
      <c r="F386" s="137"/>
      <c r="G386" s="138">
        <v>1000</v>
      </c>
      <c r="H386" s="93">
        <f t="shared" si="12"/>
        <v>2.82302450884949E-05</v>
      </c>
    </row>
    <row r="387" spans="1:8" ht="36">
      <c r="A387" s="251"/>
      <c r="B387" s="45">
        <v>4360</v>
      </c>
      <c r="C387" s="11" t="s">
        <v>272</v>
      </c>
      <c r="D387" s="136">
        <v>0</v>
      </c>
      <c r="E387" s="137"/>
      <c r="F387" s="137"/>
      <c r="G387" s="138">
        <v>1800</v>
      </c>
      <c r="H387" s="93">
        <f t="shared" si="12"/>
        <v>5.0814441159290825E-05</v>
      </c>
    </row>
    <row r="388" spans="1:8" ht="36">
      <c r="A388" s="251"/>
      <c r="B388" s="45">
        <v>4370</v>
      </c>
      <c r="C388" s="11" t="s">
        <v>311</v>
      </c>
      <c r="D388" s="136">
        <v>3600</v>
      </c>
      <c r="E388" s="137"/>
      <c r="F388" s="137"/>
      <c r="G388" s="138">
        <v>3600</v>
      </c>
      <c r="H388" s="93">
        <f t="shared" si="12"/>
        <v>0.00010162888231858165</v>
      </c>
    </row>
    <row r="389" spans="1:8" ht="13.5" customHeight="1">
      <c r="A389" s="251"/>
      <c r="B389" s="45">
        <v>4410</v>
      </c>
      <c r="C389" s="46" t="s">
        <v>121</v>
      </c>
      <c r="D389" s="136">
        <v>12000</v>
      </c>
      <c r="E389" s="137"/>
      <c r="F389" s="137"/>
      <c r="G389" s="138">
        <v>12000</v>
      </c>
      <c r="H389" s="93">
        <f t="shared" si="12"/>
        <v>0.0003387629410619388</v>
      </c>
    </row>
    <row r="390" spans="1:8" ht="13.5" customHeight="1">
      <c r="A390" s="251"/>
      <c r="B390" s="45">
        <v>4430</v>
      </c>
      <c r="C390" s="46" t="s">
        <v>78</v>
      </c>
      <c r="D390" s="136">
        <v>1000</v>
      </c>
      <c r="E390" s="137"/>
      <c r="F390" s="137"/>
      <c r="G390" s="138">
        <v>1000</v>
      </c>
      <c r="H390" s="93">
        <f t="shared" si="12"/>
        <v>2.82302450884949E-05</v>
      </c>
    </row>
    <row r="391" spans="1:8" ht="13.5" customHeight="1">
      <c r="A391" s="251"/>
      <c r="B391" s="45">
        <v>4440</v>
      </c>
      <c r="C391" s="46" t="s">
        <v>69</v>
      </c>
      <c r="D391" s="136">
        <v>14700</v>
      </c>
      <c r="E391" s="137"/>
      <c r="F391" s="137"/>
      <c r="G391" s="138">
        <v>16090</v>
      </c>
      <c r="H391" s="93">
        <f t="shared" si="12"/>
        <v>0.000454224643473883</v>
      </c>
    </row>
    <row r="392" spans="1:8" ht="36">
      <c r="A392" s="251"/>
      <c r="B392" s="10">
        <v>4700</v>
      </c>
      <c r="C392" s="11" t="s">
        <v>249</v>
      </c>
      <c r="D392" s="158">
        <v>1500</v>
      </c>
      <c r="E392" s="142"/>
      <c r="F392" s="142"/>
      <c r="G392" s="159">
        <v>3000</v>
      </c>
      <c r="H392" s="93">
        <f t="shared" si="12"/>
        <v>8.46907352654847E-05</v>
      </c>
    </row>
    <row r="393" spans="1:8" ht="36">
      <c r="A393" s="251"/>
      <c r="B393" s="10">
        <v>4740</v>
      </c>
      <c r="C393" s="11" t="s">
        <v>246</v>
      </c>
      <c r="D393" s="158">
        <v>1000</v>
      </c>
      <c r="E393" s="142"/>
      <c r="F393" s="142"/>
      <c r="G393" s="159">
        <v>1000</v>
      </c>
      <c r="H393" s="93">
        <f t="shared" si="12"/>
        <v>2.82302450884949E-05</v>
      </c>
    </row>
    <row r="394" spans="1:8" ht="36.75" thickBot="1">
      <c r="A394" s="252"/>
      <c r="B394" s="79">
        <v>4750</v>
      </c>
      <c r="C394" s="80" t="s">
        <v>310</v>
      </c>
      <c r="D394" s="172">
        <v>1500</v>
      </c>
      <c r="E394" s="173"/>
      <c r="F394" s="173"/>
      <c r="G394" s="174">
        <v>0</v>
      </c>
      <c r="H394" s="93">
        <f t="shared" si="12"/>
        <v>0</v>
      </c>
    </row>
    <row r="395" spans="1:9" ht="15" thickBot="1" thickTop="1">
      <c r="A395" s="228" t="s">
        <v>148</v>
      </c>
      <c r="B395" s="229"/>
      <c r="C395" s="229"/>
      <c r="D395" s="139">
        <f>SUM(D372:D394)</f>
        <v>1406147</v>
      </c>
      <c r="E395" s="139"/>
      <c r="F395" s="139"/>
      <c r="G395" s="140">
        <f>SUM(G372:G394)</f>
        <v>1609532</v>
      </c>
      <c r="H395" s="91">
        <f>G395/G623</f>
        <v>0.04543748283777538</v>
      </c>
      <c r="I395" t="s">
        <v>236</v>
      </c>
    </row>
    <row r="396" spans="1:8" ht="15" customHeight="1" thickTop="1">
      <c r="A396" s="253">
        <v>85202</v>
      </c>
      <c r="B396" s="235" t="s">
        <v>12</v>
      </c>
      <c r="C396" s="236"/>
      <c r="D396" s="236"/>
      <c r="E396" s="236"/>
      <c r="F396" s="236"/>
      <c r="G396" s="236"/>
      <c r="H396" s="237"/>
    </row>
    <row r="397" spans="1:8" ht="24">
      <c r="A397" s="232"/>
      <c r="B397" s="10">
        <v>2580</v>
      </c>
      <c r="C397" s="11" t="s">
        <v>207</v>
      </c>
      <c r="D397" s="158">
        <v>1159903</v>
      </c>
      <c r="E397" s="142"/>
      <c r="F397" s="142"/>
      <c r="G397" s="159">
        <v>1072120</v>
      </c>
      <c r="H397" s="93">
        <f>G397/$G$623</f>
        <v>0.030266210364277155</v>
      </c>
    </row>
    <row r="398" spans="1:8" ht="24">
      <c r="A398" s="232"/>
      <c r="B398" s="10">
        <v>3020</v>
      </c>
      <c r="C398" s="11" t="s">
        <v>219</v>
      </c>
      <c r="D398" s="158">
        <v>6800</v>
      </c>
      <c r="E398" s="142"/>
      <c r="F398" s="142"/>
      <c r="G398" s="159">
        <v>3200</v>
      </c>
      <c r="H398" s="93">
        <f aca="true" t="shared" si="13" ref="H398:H420">G398/$G$623</f>
        <v>9.033678428318368E-05</v>
      </c>
    </row>
    <row r="399" spans="1:8" ht="24">
      <c r="A399" s="232"/>
      <c r="B399" s="10">
        <v>4010</v>
      </c>
      <c r="C399" s="11" t="s">
        <v>295</v>
      </c>
      <c r="D399" s="158">
        <v>1773387</v>
      </c>
      <c r="E399" s="142"/>
      <c r="F399" s="142"/>
      <c r="G399" s="159">
        <v>1845800</v>
      </c>
      <c r="H399" s="93">
        <f t="shared" si="13"/>
        <v>0.05210738638434389</v>
      </c>
    </row>
    <row r="400" spans="1:8" ht="12.75">
      <c r="A400" s="232"/>
      <c r="B400" s="10">
        <v>4040</v>
      </c>
      <c r="C400" s="11" t="s">
        <v>82</v>
      </c>
      <c r="D400" s="158">
        <v>128591</v>
      </c>
      <c r="E400" s="142"/>
      <c r="F400" s="142"/>
      <c r="G400" s="159">
        <v>142700</v>
      </c>
      <c r="H400" s="93">
        <f t="shared" si="13"/>
        <v>0.004028455974128223</v>
      </c>
    </row>
    <row r="401" spans="1:8" ht="15.75" customHeight="1">
      <c r="A401" s="232"/>
      <c r="B401" s="10">
        <v>4110</v>
      </c>
      <c r="C401" s="11" t="s">
        <v>81</v>
      </c>
      <c r="D401" s="158">
        <v>323354</v>
      </c>
      <c r="E401" s="142"/>
      <c r="F401" s="142"/>
      <c r="G401" s="159">
        <v>301000</v>
      </c>
      <c r="H401" s="93">
        <f t="shared" si="13"/>
        <v>0.008497303771636966</v>
      </c>
    </row>
    <row r="402" spans="1:8" ht="12.75">
      <c r="A402" s="232"/>
      <c r="B402" s="10">
        <v>4120</v>
      </c>
      <c r="C402" s="11" t="s">
        <v>80</v>
      </c>
      <c r="D402" s="158">
        <v>45078</v>
      </c>
      <c r="E402" s="142"/>
      <c r="F402" s="142"/>
      <c r="G402" s="159">
        <v>47700</v>
      </c>
      <c r="H402" s="93">
        <f t="shared" si="13"/>
        <v>0.0013465826907212068</v>
      </c>
    </row>
    <row r="403" spans="1:8" ht="12.75">
      <c r="A403" s="232"/>
      <c r="B403" s="10">
        <v>4210</v>
      </c>
      <c r="C403" s="11" t="s">
        <v>64</v>
      </c>
      <c r="D403" s="158">
        <v>346678</v>
      </c>
      <c r="E403" s="142"/>
      <c r="F403" s="142"/>
      <c r="G403" s="159">
        <v>261800</v>
      </c>
      <c r="H403" s="93">
        <f t="shared" si="13"/>
        <v>0.007390678164167965</v>
      </c>
    </row>
    <row r="404" spans="1:8" ht="12.75">
      <c r="A404" s="232"/>
      <c r="B404" s="10">
        <v>4220</v>
      </c>
      <c r="C404" s="11" t="s">
        <v>90</v>
      </c>
      <c r="D404" s="158">
        <v>336100</v>
      </c>
      <c r="E404" s="142"/>
      <c r="F404" s="142"/>
      <c r="G404" s="159">
        <v>358100</v>
      </c>
      <c r="H404" s="93">
        <f t="shared" si="13"/>
        <v>0.010109250766190025</v>
      </c>
    </row>
    <row r="405" spans="1:8" ht="12.75">
      <c r="A405" s="232"/>
      <c r="B405" s="10">
        <v>4230</v>
      </c>
      <c r="C405" s="11" t="s">
        <v>89</v>
      </c>
      <c r="D405" s="158">
        <v>29200</v>
      </c>
      <c r="E405" s="142"/>
      <c r="F405" s="142"/>
      <c r="G405" s="159">
        <v>30000</v>
      </c>
      <c r="H405" s="93">
        <f t="shared" si="13"/>
        <v>0.0008469073526548471</v>
      </c>
    </row>
    <row r="406" spans="1:8" ht="12.75">
      <c r="A406" s="232"/>
      <c r="B406" s="10">
        <v>4260</v>
      </c>
      <c r="C406" s="11" t="s">
        <v>65</v>
      </c>
      <c r="D406" s="158">
        <v>168400</v>
      </c>
      <c r="E406" s="142"/>
      <c r="F406" s="142"/>
      <c r="G406" s="159">
        <v>168400</v>
      </c>
      <c r="H406" s="93">
        <f t="shared" si="13"/>
        <v>0.004753973272902542</v>
      </c>
    </row>
    <row r="407" spans="1:8" ht="12.75">
      <c r="A407" s="232"/>
      <c r="B407" s="10">
        <v>4270</v>
      </c>
      <c r="C407" s="11" t="s">
        <v>127</v>
      </c>
      <c r="D407" s="158">
        <v>34200</v>
      </c>
      <c r="E407" s="142"/>
      <c r="F407" s="142"/>
      <c r="G407" s="159">
        <v>18100</v>
      </c>
      <c r="H407" s="93">
        <f t="shared" si="13"/>
        <v>0.0005109674361017578</v>
      </c>
    </row>
    <row r="408" spans="1:8" ht="12.75">
      <c r="A408" s="232"/>
      <c r="B408" s="10">
        <v>4280</v>
      </c>
      <c r="C408" s="11" t="s">
        <v>99</v>
      </c>
      <c r="D408" s="158">
        <v>800</v>
      </c>
      <c r="E408" s="142"/>
      <c r="F408" s="142"/>
      <c r="G408" s="159">
        <v>800</v>
      </c>
      <c r="H408" s="93">
        <f t="shared" si="13"/>
        <v>2.258419607079592E-05</v>
      </c>
    </row>
    <row r="409" spans="1:8" ht="12.75">
      <c r="A409" s="232"/>
      <c r="B409" s="10">
        <v>4300</v>
      </c>
      <c r="C409" s="11" t="s">
        <v>79</v>
      </c>
      <c r="D409" s="158">
        <v>90913</v>
      </c>
      <c r="E409" s="142"/>
      <c r="F409" s="142"/>
      <c r="G409" s="159">
        <v>87600</v>
      </c>
      <c r="H409" s="93">
        <f t="shared" si="13"/>
        <v>0.0024729694697521536</v>
      </c>
    </row>
    <row r="410" spans="1:8" ht="24">
      <c r="A410" s="232"/>
      <c r="B410" s="10">
        <v>4350</v>
      </c>
      <c r="C410" s="11" t="s">
        <v>299</v>
      </c>
      <c r="D410" s="158">
        <v>1000</v>
      </c>
      <c r="E410" s="142"/>
      <c r="F410" s="142"/>
      <c r="G410" s="159">
        <v>1200</v>
      </c>
      <c r="H410" s="93">
        <f t="shared" si="13"/>
        <v>3.387629410619388E-05</v>
      </c>
    </row>
    <row r="411" spans="1:8" ht="36">
      <c r="A411" s="232"/>
      <c r="B411" s="10">
        <v>4360</v>
      </c>
      <c r="C411" s="11" t="s">
        <v>272</v>
      </c>
      <c r="D411" s="158">
        <v>3800</v>
      </c>
      <c r="E411" s="142"/>
      <c r="F411" s="142"/>
      <c r="G411" s="159">
        <v>4000</v>
      </c>
      <c r="H411" s="93">
        <f t="shared" si="13"/>
        <v>0.0001129209803539796</v>
      </c>
    </row>
    <row r="412" spans="1:8" ht="36">
      <c r="A412" s="232"/>
      <c r="B412" s="10">
        <v>4370</v>
      </c>
      <c r="C412" s="11" t="s">
        <v>311</v>
      </c>
      <c r="D412" s="158">
        <v>9800</v>
      </c>
      <c r="E412" s="142"/>
      <c r="F412" s="142"/>
      <c r="G412" s="159">
        <v>10000</v>
      </c>
      <c r="H412" s="93">
        <f t="shared" si="13"/>
        <v>0.000282302450884949</v>
      </c>
    </row>
    <row r="413" spans="1:8" ht="12.75">
      <c r="A413" s="232"/>
      <c r="B413" s="10">
        <v>4410</v>
      </c>
      <c r="C413" s="11" t="s">
        <v>308</v>
      </c>
      <c r="D413" s="158">
        <v>4500</v>
      </c>
      <c r="E413" s="142"/>
      <c r="F413" s="142"/>
      <c r="G413" s="159">
        <v>3200</v>
      </c>
      <c r="H413" s="93">
        <f t="shared" si="13"/>
        <v>9.033678428318368E-05</v>
      </c>
    </row>
    <row r="414" spans="1:8" ht="12.75">
      <c r="A414" s="232"/>
      <c r="B414" s="10">
        <v>4430</v>
      </c>
      <c r="C414" s="11" t="s">
        <v>78</v>
      </c>
      <c r="D414" s="158">
        <v>11000</v>
      </c>
      <c r="E414" s="142"/>
      <c r="F414" s="142"/>
      <c r="G414" s="159">
        <v>12000</v>
      </c>
      <c r="H414" s="93">
        <f t="shared" si="13"/>
        <v>0.0003387629410619388</v>
      </c>
    </row>
    <row r="415" spans="1:8" ht="12.75">
      <c r="A415" s="232"/>
      <c r="B415" s="10">
        <v>4440</v>
      </c>
      <c r="C415" s="11" t="s">
        <v>69</v>
      </c>
      <c r="D415" s="158">
        <v>79864</v>
      </c>
      <c r="E415" s="142"/>
      <c r="F415" s="142"/>
      <c r="G415" s="159">
        <v>78700</v>
      </c>
      <c r="H415" s="93">
        <f t="shared" si="13"/>
        <v>0.0022217202884645486</v>
      </c>
    </row>
    <row r="416" spans="1:8" ht="12.75">
      <c r="A416" s="232"/>
      <c r="B416" s="10">
        <v>4480</v>
      </c>
      <c r="C416" s="11" t="s">
        <v>70</v>
      </c>
      <c r="D416" s="158">
        <v>2273</v>
      </c>
      <c r="E416" s="142"/>
      <c r="F416" s="142"/>
      <c r="G416" s="159">
        <v>2800</v>
      </c>
      <c r="H416" s="93">
        <f t="shared" si="13"/>
        <v>7.904468624778573E-05</v>
      </c>
    </row>
    <row r="417" spans="1:8" ht="36">
      <c r="A417" s="254"/>
      <c r="B417" s="45">
        <v>4700</v>
      </c>
      <c r="C417" s="11" t="s">
        <v>249</v>
      </c>
      <c r="D417" s="136">
        <v>2000</v>
      </c>
      <c r="E417" s="137"/>
      <c r="F417" s="137"/>
      <c r="G417" s="138">
        <v>2000</v>
      </c>
      <c r="H417" s="93">
        <f t="shared" si="13"/>
        <v>5.64604901769898E-05</v>
      </c>
    </row>
    <row r="418" spans="1:8" ht="36">
      <c r="A418" s="254"/>
      <c r="B418" s="45">
        <v>4740</v>
      </c>
      <c r="C418" s="11" t="s">
        <v>246</v>
      </c>
      <c r="D418" s="136">
        <v>1920</v>
      </c>
      <c r="E418" s="137"/>
      <c r="F418" s="137"/>
      <c r="G418" s="138">
        <v>2200</v>
      </c>
      <c r="H418" s="93">
        <f t="shared" si="13"/>
        <v>6.210653919468878E-05</v>
      </c>
    </row>
    <row r="419" spans="1:8" ht="36">
      <c r="A419" s="254"/>
      <c r="B419" s="45">
        <v>4750</v>
      </c>
      <c r="C419" s="80" t="s">
        <v>310</v>
      </c>
      <c r="D419" s="136">
        <v>2000</v>
      </c>
      <c r="E419" s="137"/>
      <c r="F419" s="137"/>
      <c r="G419" s="138">
        <v>2500</v>
      </c>
      <c r="H419" s="93">
        <f t="shared" si="13"/>
        <v>7.057561272123725E-05</v>
      </c>
    </row>
    <row r="420" spans="1:8" ht="24.75" thickBot="1">
      <c r="A420" s="254"/>
      <c r="B420" s="45">
        <v>6060</v>
      </c>
      <c r="C420" s="46" t="s">
        <v>263</v>
      </c>
      <c r="D420" s="136">
        <v>9980</v>
      </c>
      <c r="E420" s="137"/>
      <c r="F420" s="137"/>
      <c r="G420" s="138">
        <v>0</v>
      </c>
      <c r="H420" s="93">
        <f t="shared" si="13"/>
        <v>0</v>
      </c>
    </row>
    <row r="421" spans="1:9" ht="15" thickBot="1" thickTop="1">
      <c r="A421" s="228" t="s">
        <v>149</v>
      </c>
      <c r="B421" s="229"/>
      <c r="C421" s="229"/>
      <c r="D421" s="139">
        <f>SUM(D397:D420)</f>
        <v>4571541</v>
      </c>
      <c r="E421" s="139">
        <f>SUM(E397:E420)</f>
        <v>0</v>
      </c>
      <c r="F421" s="139">
        <f>SUM(F397:F420)</f>
        <v>0</v>
      </c>
      <c r="G421" s="140">
        <f>SUM(G397:G420)</f>
        <v>4455920</v>
      </c>
      <c r="H421" s="91">
        <f>G421/G623</f>
        <v>0.1257917136947262</v>
      </c>
      <c r="I421" t="s">
        <v>236</v>
      </c>
    </row>
    <row r="422" spans="1:8" ht="15" customHeight="1" thickTop="1">
      <c r="A422" s="253">
        <v>85204</v>
      </c>
      <c r="B422" s="235" t="s">
        <v>13</v>
      </c>
      <c r="C422" s="236"/>
      <c r="D422" s="236"/>
      <c r="E422" s="236"/>
      <c r="F422" s="236"/>
      <c r="G422" s="236"/>
      <c r="H422" s="237"/>
    </row>
    <row r="423" spans="1:8" ht="24" customHeight="1">
      <c r="A423" s="253"/>
      <c r="B423" s="10">
        <v>2320</v>
      </c>
      <c r="C423" s="14" t="s">
        <v>102</v>
      </c>
      <c r="D423" s="158">
        <v>119000</v>
      </c>
      <c r="E423" s="199"/>
      <c r="F423" s="142"/>
      <c r="G423" s="159">
        <v>128607</v>
      </c>
      <c r="H423" s="93">
        <f>G423/$G$623</f>
        <v>0.003630607130096064</v>
      </c>
    </row>
    <row r="424" spans="1:8" ht="15.75" customHeight="1">
      <c r="A424" s="253"/>
      <c r="B424" s="45">
        <v>3110</v>
      </c>
      <c r="C424" s="46" t="s">
        <v>108</v>
      </c>
      <c r="D424" s="136">
        <v>400500</v>
      </c>
      <c r="E424" s="200"/>
      <c r="F424" s="137"/>
      <c r="G424" s="138">
        <v>379056</v>
      </c>
      <c r="H424" s="93">
        <f>G424/$G$623</f>
        <v>0.010700843782264524</v>
      </c>
    </row>
    <row r="425" spans="1:8" ht="12" customHeight="1">
      <c r="A425" s="232"/>
      <c r="B425" s="10">
        <v>4170</v>
      </c>
      <c r="C425" s="14" t="s">
        <v>192</v>
      </c>
      <c r="D425" s="158">
        <v>7500</v>
      </c>
      <c r="E425" s="142"/>
      <c r="F425" s="142"/>
      <c r="G425" s="158">
        <v>0</v>
      </c>
      <c r="H425" s="93">
        <f>G425/$G$623</f>
        <v>0</v>
      </c>
    </row>
    <row r="426" spans="1:8" ht="15" customHeight="1" thickBot="1">
      <c r="A426" s="254"/>
      <c r="B426" s="45">
        <v>4210</v>
      </c>
      <c r="C426" s="46" t="s">
        <v>64</v>
      </c>
      <c r="D426" s="163">
        <v>500</v>
      </c>
      <c r="E426" s="200"/>
      <c r="F426" s="137"/>
      <c r="G426" s="138">
        <v>0</v>
      </c>
      <c r="H426" s="93">
        <f>G426/$G$623</f>
        <v>0</v>
      </c>
    </row>
    <row r="427" spans="1:9" ht="15" thickBot="1" thickTop="1">
      <c r="A427" s="228" t="s">
        <v>150</v>
      </c>
      <c r="B427" s="229"/>
      <c r="C427" s="229"/>
      <c r="D427" s="133">
        <f>SUM(D423:D426)</f>
        <v>527500</v>
      </c>
      <c r="E427" s="133">
        <f>SUM(E425:E426)</f>
        <v>0</v>
      </c>
      <c r="F427" s="133">
        <f>SUM(F425:F426)</f>
        <v>0</v>
      </c>
      <c r="G427" s="160">
        <f>SUM(G423:G426)</f>
        <v>507663</v>
      </c>
      <c r="H427" s="91">
        <f>G427/G623</f>
        <v>0.014331450912360587</v>
      </c>
      <c r="I427" t="s">
        <v>236</v>
      </c>
    </row>
    <row r="428" spans="1:8" ht="14.25" thickTop="1">
      <c r="A428" s="250">
        <v>85218</v>
      </c>
      <c r="B428" s="235" t="s">
        <v>38</v>
      </c>
      <c r="C428" s="236"/>
      <c r="D428" s="236"/>
      <c r="E428" s="236"/>
      <c r="F428" s="236"/>
      <c r="G428" s="236"/>
      <c r="H428" s="237"/>
    </row>
    <row r="429" spans="1:8" ht="24">
      <c r="A429" s="251"/>
      <c r="B429" s="13">
        <v>3020</v>
      </c>
      <c r="C429" s="11" t="s">
        <v>200</v>
      </c>
      <c r="D429" s="158">
        <v>1200</v>
      </c>
      <c r="E429" s="142"/>
      <c r="F429" s="142"/>
      <c r="G429" s="159">
        <v>1300</v>
      </c>
      <c r="H429" s="93">
        <f>G429/$G$623</f>
        <v>3.6699318615043375E-05</v>
      </c>
    </row>
    <row r="430" spans="1:8" ht="24">
      <c r="A430" s="251"/>
      <c r="B430" s="10">
        <v>4010</v>
      </c>
      <c r="C430" s="11" t="s">
        <v>295</v>
      </c>
      <c r="D430" s="158">
        <v>162700</v>
      </c>
      <c r="E430" s="142"/>
      <c r="F430" s="142"/>
      <c r="G430" s="159">
        <v>208700</v>
      </c>
      <c r="H430" s="93">
        <f aca="true" t="shared" si="14" ref="H430:H446">G430/$G$623</f>
        <v>0.005891652149968886</v>
      </c>
    </row>
    <row r="431" spans="1:8" ht="12.75" customHeight="1">
      <c r="A431" s="251"/>
      <c r="B431" s="10">
        <v>4040</v>
      </c>
      <c r="C431" s="11" t="s">
        <v>82</v>
      </c>
      <c r="D431" s="158">
        <v>12215</v>
      </c>
      <c r="E431" s="142"/>
      <c r="F431" s="142"/>
      <c r="G431" s="159">
        <v>13700</v>
      </c>
      <c r="H431" s="93">
        <f t="shared" si="14"/>
        <v>0.0003867543577123802</v>
      </c>
    </row>
    <row r="432" spans="1:8" ht="15" customHeight="1">
      <c r="A432" s="251"/>
      <c r="B432" s="10">
        <v>4110</v>
      </c>
      <c r="C432" s="11" t="s">
        <v>81</v>
      </c>
      <c r="D432" s="158">
        <v>29727</v>
      </c>
      <c r="E432" s="142"/>
      <c r="F432" s="142"/>
      <c r="G432" s="159">
        <v>33900</v>
      </c>
      <c r="H432" s="93">
        <f t="shared" si="14"/>
        <v>0.0009570053084999772</v>
      </c>
    </row>
    <row r="433" spans="1:8" ht="12.75" customHeight="1">
      <c r="A433" s="251"/>
      <c r="B433" s="10">
        <v>4120</v>
      </c>
      <c r="C433" s="11" t="s">
        <v>80</v>
      </c>
      <c r="D433" s="158">
        <v>4200</v>
      </c>
      <c r="E433" s="142"/>
      <c r="F433" s="142"/>
      <c r="G433" s="159">
        <v>5200</v>
      </c>
      <c r="H433" s="93">
        <f t="shared" si="14"/>
        <v>0.0001467972744601735</v>
      </c>
    </row>
    <row r="434" spans="1:8" ht="12.75" customHeight="1">
      <c r="A434" s="251"/>
      <c r="B434" s="10">
        <v>4170</v>
      </c>
      <c r="C434" s="11" t="s">
        <v>192</v>
      </c>
      <c r="D434" s="158">
        <v>1330</v>
      </c>
      <c r="E434" s="142"/>
      <c r="F434" s="142"/>
      <c r="G434" s="159">
        <v>1400</v>
      </c>
      <c r="H434" s="93">
        <f t="shared" si="14"/>
        <v>3.9522343123892863E-05</v>
      </c>
    </row>
    <row r="435" spans="1:8" ht="12.75" customHeight="1">
      <c r="A435" s="251"/>
      <c r="B435" s="10">
        <v>4210</v>
      </c>
      <c r="C435" s="11" t="s">
        <v>64</v>
      </c>
      <c r="D435" s="158">
        <v>3655</v>
      </c>
      <c r="E435" s="142"/>
      <c r="F435" s="142"/>
      <c r="G435" s="159">
        <v>3800</v>
      </c>
      <c r="H435" s="93">
        <f t="shared" si="14"/>
        <v>0.00010727493133628063</v>
      </c>
    </row>
    <row r="436" spans="1:8" ht="12.75" customHeight="1">
      <c r="A436" s="251"/>
      <c r="B436" s="10">
        <v>4270</v>
      </c>
      <c r="C436" s="11" t="s">
        <v>79</v>
      </c>
      <c r="D436" s="158">
        <v>970</v>
      </c>
      <c r="E436" s="142"/>
      <c r="F436" s="142"/>
      <c r="G436" s="159">
        <v>1000</v>
      </c>
      <c r="H436" s="93">
        <f t="shared" si="14"/>
        <v>2.82302450884949E-05</v>
      </c>
    </row>
    <row r="437" spans="1:8" ht="12.75" customHeight="1">
      <c r="A437" s="251"/>
      <c r="B437" s="10">
        <v>4280</v>
      </c>
      <c r="C437" s="11" t="s">
        <v>99</v>
      </c>
      <c r="D437" s="158">
        <v>45</v>
      </c>
      <c r="E437" s="142"/>
      <c r="F437" s="142"/>
      <c r="G437" s="159">
        <v>100</v>
      </c>
      <c r="H437" s="93">
        <f t="shared" si="14"/>
        <v>2.82302450884949E-06</v>
      </c>
    </row>
    <row r="438" spans="1:8" ht="12.75" customHeight="1">
      <c r="A438" s="251"/>
      <c r="B438" s="10">
        <v>4300</v>
      </c>
      <c r="C438" s="11" t="s">
        <v>60</v>
      </c>
      <c r="D438" s="158">
        <v>9980</v>
      </c>
      <c r="E438" s="142"/>
      <c r="F438" s="142"/>
      <c r="G438" s="159">
        <v>10300</v>
      </c>
      <c r="H438" s="93">
        <f t="shared" si="14"/>
        <v>0.0002907715244114975</v>
      </c>
    </row>
    <row r="439" spans="1:8" ht="24">
      <c r="A439" s="251"/>
      <c r="B439" s="10">
        <v>4350</v>
      </c>
      <c r="C439" s="11" t="s">
        <v>255</v>
      </c>
      <c r="D439" s="158">
        <v>1200</v>
      </c>
      <c r="E439" s="142"/>
      <c r="F439" s="142"/>
      <c r="G439" s="159">
        <v>1300</v>
      </c>
      <c r="H439" s="93">
        <f t="shared" si="14"/>
        <v>3.6699318615043375E-05</v>
      </c>
    </row>
    <row r="440" spans="1:8" ht="36">
      <c r="A440" s="251"/>
      <c r="B440" s="10">
        <v>4370</v>
      </c>
      <c r="C440" s="11" t="s">
        <v>292</v>
      </c>
      <c r="D440" s="158">
        <v>3600</v>
      </c>
      <c r="E440" s="142"/>
      <c r="F440" s="142"/>
      <c r="G440" s="159">
        <v>3700</v>
      </c>
      <c r="H440" s="93">
        <f t="shared" si="14"/>
        <v>0.00010445190682743113</v>
      </c>
    </row>
    <row r="441" spans="1:8" ht="12.75" customHeight="1">
      <c r="A441" s="251"/>
      <c r="B441" s="10">
        <v>4410</v>
      </c>
      <c r="C441" s="11" t="s">
        <v>308</v>
      </c>
      <c r="D441" s="158">
        <v>3500</v>
      </c>
      <c r="E441" s="142"/>
      <c r="F441" s="142"/>
      <c r="G441" s="159">
        <v>3600</v>
      </c>
      <c r="H441" s="93">
        <f t="shared" si="14"/>
        <v>0.00010162888231858165</v>
      </c>
    </row>
    <row r="442" spans="1:8" ht="12.75" customHeight="1">
      <c r="A442" s="251"/>
      <c r="B442" s="10">
        <v>4430</v>
      </c>
      <c r="C442" s="11" t="s">
        <v>78</v>
      </c>
      <c r="D442" s="158">
        <v>1300</v>
      </c>
      <c r="E442" s="142"/>
      <c r="F442" s="142"/>
      <c r="G442" s="159">
        <v>1400</v>
      </c>
      <c r="H442" s="93">
        <f t="shared" si="14"/>
        <v>3.9522343123892863E-05</v>
      </c>
    </row>
    <row r="443" spans="1:8" ht="13.5" customHeight="1">
      <c r="A443" s="251"/>
      <c r="B443" s="45">
        <v>4440</v>
      </c>
      <c r="C443" s="46" t="s">
        <v>69</v>
      </c>
      <c r="D443" s="136">
        <v>4358</v>
      </c>
      <c r="E443" s="137"/>
      <c r="F443" s="137"/>
      <c r="G443" s="138">
        <v>4800</v>
      </c>
      <c r="H443" s="93">
        <f t="shared" si="14"/>
        <v>0.00013550517642477552</v>
      </c>
    </row>
    <row r="444" spans="1:8" ht="36">
      <c r="A444" s="251"/>
      <c r="B444" s="10">
        <v>4700</v>
      </c>
      <c r="C444" s="11" t="s">
        <v>317</v>
      </c>
      <c r="D444" s="158">
        <v>1000</v>
      </c>
      <c r="E444" s="142"/>
      <c r="F444" s="142"/>
      <c r="G444" s="159">
        <v>1100</v>
      </c>
      <c r="H444" s="93">
        <f t="shared" si="14"/>
        <v>3.105326959734439E-05</v>
      </c>
    </row>
    <row r="445" spans="1:8" ht="36">
      <c r="A445" s="251"/>
      <c r="B445" s="10">
        <v>4740</v>
      </c>
      <c r="C445" s="11" t="s">
        <v>246</v>
      </c>
      <c r="D445" s="158">
        <v>1800</v>
      </c>
      <c r="E445" s="142"/>
      <c r="F445" s="142"/>
      <c r="G445" s="159">
        <v>1900</v>
      </c>
      <c r="H445" s="93">
        <f t="shared" si="14"/>
        <v>5.3637465668140314E-05</v>
      </c>
    </row>
    <row r="446" spans="1:8" ht="36.75" thickBot="1">
      <c r="A446" s="252"/>
      <c r="B446" s="112">
        <v>4750</v>
      </c>
      <c r="C446" s="80" t="s">
        <v>310</v>
      </c>
      <c r="D446" s="183">
        <v>700</v>
      </c>
      <c r="E446" s="184"/>
      <c r="F446" s="184"/>
      <c r="G446" s="185">
        <v>800</v>
      </c>
      <c r="H446" s="93">
        <f t="shared" si="14"/>
        <v>2.258419607079592E-05</v>
      </c>
    </row>
    <row r="447" spans="1:9" ht="15" thickBot="1" thickTop="1">
      <c r="A447" s="228" t="s">
        <v>151</v>
      </c>
      <c r="B447" s="229"/>
      <c r="C447" s="229"/>
      <c r="D447" s="139">
        <f>SUM(D429:D446)</f>
        <v>243480</v>
      </c>
      <c r="E447" s="139">
        <f>SUM(E429:E443)</f>
        <v>0</v>
      </c>
      <c r="F447" s="139">
        <f>SUM(F429:F443)</f>
        <v>0</v>
      </c>
      <c r="G447" s="139">
        <f>SUM(G429:G446)</f>
        <v>298000</v>
      </c>
      <c r="H447" s="91">
        <f>G447/G623</f>
        <v>0.008412613036371482</v>
      </c>
      <c r="I447" t="s">
        <v>236</v>
      </c>
    </row>
    <row r="448" spans="1:8" ht="18.75" customHeight="1" thickTop="1">
      <c r="A448" s="253">
        <v>85220</v>
      </c>
      <c r="B448" s="235" t="s">
        <v>185</v>
      </c>
      <c r="C448" s="236"/>
      <c r="D448" s="236"/>
      <c r="E448" s="236"/>
      <c r="F448" s="236"/>
      <c r="G448" s="236"/>
      <c r="H448" s="237"/>
    </row>
    <row r="449" spans="1:8" ht="15" customHeight="1">
      <c r="A449" s="232"/>
      <c r="B449" s="10">
        <v>4110</v>
      </c>
      <c r="C449" s="11" t="s">
        <v>81</v>
      </c>
      <c r="D449" s="158">
        <v>700</v>
      </c>
      <c r="E449" s="142"/>
      <c r="F449" s="142"/>
      <c r="G449" s="159">
        <v>800</v>
      </c>
      <c r="H449" s="93">
        <f>G449/$G$623</f>
        <v>2.258419607079592E-05</v>
      </c>
    </row>
    <row r="450" spans="1:8" ht="15" customHeight="1">
      <c r="A450" s="232"/>
      <c r="B450" s="10">
        <v>4120</v>
      </c>
      <c r="C450" s="11" t="s">
        <v>80</v>
      </c>
      <c r="D450" s="158">
        <v>100</v>
      </c>
      <c r="E450" s="142"/>
      <c r="F450" s="142"/>
      <c r="G450" s="159">
        <v>200</v>
      </c>
      <c r="H450" s="93">
        <f>G450/$G$623</f>
        <v>5.64604901769898E-06</v>
      </c>
    </row>
    <row r="451" spans="1:8" ht="15" customHeight="1">
      <c r="A451" s="232"/>
      <c r="B451" s="10">
        <v>4170</v>
      </c>
      <c r="C451" s="11" t="s">
        <v>192</v>
      </c>
      <c r="D451" s="158">
        <v>8500</v>
      </c>
      <c r="E451" s="142"/>
      <c r="F451" s="142"/>
      <c r="G451" s="159">
        <v>9000</v>
      </c>
      <c r="H451" s="93">
        <f>G451/$G$623</f>
        <v>0.00025407220579645414</v>
      </c>
    </row>
    <row r="452" spans="1:8" ht="15" customHeight="1">
      <c r="A452" s="254"/>
      <c r="B452" s="45">
        <v>4210</v>
      </c>
      <c r="C452" s="46" t="s">
        <v>64</v>
      </c>
      <c r="D452" s="136">
        <v>4000</v>
      </c>
      <c r="E452" s="137"/>
      <c r="F452" s="137"/>
      <c r="G452" s="138">
        <v>0</v>
      </c>
      <c r="H452" s="93">
        <f>G452/$G$623</f>
        <v>0</v>
      </c>
    </row>
    <row r="453" spans="1:8" ht="13.5" thickBot="1">
      <c r="A453" s="254"/>
      <c r="B453" s="45">
        <v>4300</v>
      </c>
      <c r="C453" s="46" t="s">
        <v>79</v>
      </c>
      <c r="D453" s="136">
        <v>20800</v>
      </c>
      <c r="E453" s="137"/>
      <c r="F453" s="137"/>
      <c r="G453" s="138">
        <v>22500</v>
      </c>
      <c r="H453" s="93">
        <f>G453/$G$623</f>
        <v>0.0006351805144911353</v>
      </c>
    </row>
    <row r="454" spans="1:9" ht="15" thickBot="1" thickTop="1">
      <c r="A454" s="228" t="s">
        <v>186</v>
      </c>
      <c r="B454" s="229"/>
      <c r="C454" s="229"/>
      <c r="D454" s="139">
        <f>SUM(D449:D453)</f>
        <v>34100</v>
      </c>
      <c r="E454" s="139">
        <f>SUM(E449:E453)</f>
        <v>0</v>
      </c>
      <c r="F454" s="139">
        <f>SUM(F449:F453)</f>
        <v>0</v>
      </c>
      <c r="G454" s="139">
        <f>SUM(G449:G453)</f>
        <v>32500</v>
      </c>
      <c r="H454" s="91">
        <f>G454/G623</f>
        <v>0.0009174829653760844</v>
      </c>
      <c r="I454" t="s">
        <v>236</v>
      </c>
    </row>
    <row r="455" spans="1:8" ht="14.25" thickTop="1">
      <c r="A455" s="253">
        <v>85295</v>
      </c>
      <c r="B455" s="235" t="s">
        <v>56</v>
      </c>
      <c r="C455" s="236"/>
      <c r="D455" s="236"/>
      <c r="E455" s="236"/>
      <c r="F455" s="236"/>
      <c r="G455" s="236"/>
      <c r="H455" s="237"/>
    </row>
    <row r="456" spans="1:8" ht="12.75">
      <c r="A456" s="232"/>
      <c r="B456" s="10">
        <v>4178</v>
      </c>
      <c r="C456" s="11" t="s">
        <v>192</v>
      </c>
      <c r="D456" s="158">
        <v>50310</v>
      </c>
      <c r="E456" s="142"/>
      <c r="F456" s="142"/>
      <c r="G456" s="159">
        <v>0</v>
      </c>
      <c r="H456" s="93">
        <f aca="true" t="shared" si="15" ref="H456:H461">G456/D456</f>
        <v>0</v>
      </c>
    </row>
    <row r="457" spans="1:8" ht="12.75">
      <c r="A457" s="232"/>
      <c r="B457" s="10">
        <v>4218</v>
      </c>
      <c r="C457" s="11" t="s">
        <v>64</v>
      </c>
      <c r="D457" s="158">
        <v>1685</v>
      </c>
      <c r="E457" s="142"/>
      <c r="F457" s="142"/>
      <c r="G457" s="159">
        <v>0</v>
      </c>
      <c r="H457" s="93">
        <f t="shared" si="15"/>
        <v>0</v>
      </c>
    </row>
    <row r="458" spans="1:8" ht="12.75">
      <c r="A458" s="232"/>
      <c r="B458" s="10">
        <v>4228</v>
      </c>
      <c r="C458" s="11" t="s">
        <v>224</v>
      </c>
      <c r="D458" s="158">
        <v>3800</v>
      </c>
      <c r="E458" s="142"/>
      <c r="F458" s="142"/>
      <c r="G458" s="159">
        <v>0</v>
      </c>
      <c r="H458" s="93">
        <f t="shared" si="15"/>
        <v>0</v>
      </c>
    </row>
    <row r="459" spans="1:8" ht="12.75">
      <c r="A459" s="254"/>
      <c r="B459" s="45">
        <v>4308</v>
      </c>
      <c r="C459" s="46" t="s">
        <v>79</v>
      </c>
      <c r="D459" s="136">
        <v>2000</v>
      </c>
      <c r="E459" s="137"/>
      <c r="F459" s="137"/>
      <c r="G459" s="138">
        <v>0</v>
      </c>
      <c r="H459" s="94">
        <f t="shared" si="15"/>
        <v>0</v>
      </c>
    </row>
    <row r="460" spans="1:8" ht="13.5" thickBot="1">
      <c r="A460" s="254"/>
      <c r="B460" s="45">
        <v>4418</v>
      </c>
      <c r="C460" s="11" t="s">
        <v>67</v>
      </c>
      <c r="D460" s="136">
        <v>2288</v>
      </c>
      <c r="E460" s="137"/>
      <c r="F460" s="137"/>
      <c r="G460" s="138">
        <v>0</v>
      </c>
      <c r="H460" s="94">
        <f t="shared" si="15"/>
        <v>0</v>
      </c>
    </row>
    <row r="461" spans="1:9" ht="15" thickBot="1" thickTop="1">
      <c r="A461" s="228" t="s">
        <v>226</v>
      </c>
      <c r="B461" s="229"/>
      <c r="C461" s="229"/>
      <c r="D461" s="139">
        <f>SUM(D456:D460)</f>
        <v>60083</v>
      </c>
      <c r="E461" s="139">
        <f>SUM(E456:E460)</f>
        <v>0</v>
      </c>
      <c r="F461" s="139">
        <f>SUM(F456:F460)</f>
        <v>0</v>
      </c>
      <c r="G461" s="139">
        <f>SUM(G456:G460)</f>
        <v>0</v>
      </c>
      <c r="H461" s="91">
        <f t="shared" si="15"/>
        <v>0</v>
      </c>
      <c r="I461" t="s">
        <v>236</v>
      </c>
    </row>
    <row r="462" spans="1:8" ht="16.5" thickBot="1" thickTop="1">
      <c r="A462" s="230" t="s">
        <v>152</v>
      </c>
      <c r="B462" s="231"/>
      <c r="C462" s="231"/>
      <c r="D462" s="135">
        <f>SUM(D395+D421+D427+D447+D454+D461)</f>
        <v>6842851</v>
      </c>
      <c r="E462" s="135">
        <f>SUM(E395+E421+E427+E447+E454+E461)</f>
        <v>0</v>
      </c>
      <c r="F462" s="135">
        <f>SUM(F395+F421+F427+F447+F454+F461)</f>
        <v>0</v>
      </c>
      <c r="G462" s="135">
        <f>SUM(G395+G421+G427+G447+G454+G461)</f>
        <v>6903615</v>
      </c>
      <c r="H462" s="92">
        <f>G462/G623</f>
        <v>0.19489074344660973</v>
      </c>
    </row>
    <row r="463" spans="1:8" ht="21" thickBot="1" thickTop="1">
      <c r="A463" s="244" t="s">
        <v>153</v>
      </c>
      <c r="B463" s="245"/>
      <c r="C463" s="245"/>
      <c r="D463" s="245"/>
      <c r="E463" s="245"/>
      <c r="F463" s="245"/>
      <c r="G463" s="245"/>
      <c r="H463" s="246"/>
    </row>
    <row r="464" spans="1:8" ht="15" customHeight="1" thickTop="1">
      <c r="A464" s="276">
        <v>85311</v>
      </c>
      <c r="B464" s="235" t="s">
        <v>275</v>
      </c>
      <c r="C464" s="236"/>
      <c r="D464" s="236"/>
      <c r="E464" s="236"/>
      <c r="F464" s="236"/>
      <c r="G464" s="236"/>
      <c r="H464" s="237"/>
    </row>
    <row r="465" spans="1:8" ht="39" thickBot="1">
      <c r="A465" s="295"/>
      <c r="B465" s="122">
        <v>2580</v>
      </c>
      <c r="C465" s="121" t="s">
        <v>277</v>
      </c>
      <c r="D465" s="201">
        <v>21180</v>
      </c>
      <c r="E465" s="202"/>
      <c r="F465" s="202"/>
      <c r="G465" s="201">
        <v>42360</v>
      </c>
      <c r="H465" s="315">
        <f>G465/G623</f>
        <v>0.001195833181948644</v>
      </c>
    </row>
    <row r="466" spans="1:8" ht="15" customHeight="1" thickBot="1" thickTop="1">
      <c r="A466" s="228" t="s">
        <v>276</v>
      </c>
      <c r="B466" s="229"/>
      <c r="C466" s="229"/>
      <c r="D466" s="203">
        <f>D465</f>
        <v>21180</v>
      </c>
      <c r="E466" s="203"/>
      <c r="F466" s="203"/>
      <c r="G466" s="203">
        <f>G465</f>
        <v>42360</v>
      </c>
      <c r="H466" s="316">
        <f>G466/G623</f>
        <v>0.001195833181948644</v>
      </c>
    </row>
    <row r="467" spans="1:8" ht="14.25" thickTop="1">
      <c r="A467" s="250">
        <v>85321</v>
      </c>
      <c r="B467" s="247" t="s">
        <v>260</v>
      </c>
      <c r="C467" s="248"/>
      <c r="D467" s="248"/>
      <c r="E467" s="248"/>
      <c r="F467" s="248"/>
      <c r="G467" s="248"/>
      <c r="H467" s="249"/>
    </row>
    <row r="468" spans="1:8" ht="24">
      <c r="A468" s="251"/>
      <c r="B468" s="10">
        <v>3020</v>
      </c>
      <c r="C468" s="14" t="s">
        <v>284</v>
      </c>
      <c r="D468" s="147">
        <v>0</v>
      </c>
      <c r="E468" s="147"/>
      <c r="F468" s="147"/>
      <c r="G468" s="147">
        <v>400</v>
      </c>
      <c r="H468" s="90">
        <f>G468/$G$623</f>
        <v>1.129209803539796E-05</v>
      </c>
    </row>
    <row r="469" spans="1:8" ht="24">
      <c r="A469" s="294"/>
      <c r="B469" s="10">
        <v>4010</v>
      </c>
      <c r="C469" s="14" t="s">
        <v>181</v>
      </c>
      <c r="D469" s="147">
        <v>35200</v>
      </c>
      <c r="E469" s="147"/>
      <c r="F469" s="147"/>
      <c r="G469" s="164">
        <v>42300</v>
      </c>
      <c r="H469" s="90">
        <f aca="true" t="shared" si="16" ref="H469:H483">G469/$G$623</f>
        <v>0.0011941393672433344</v>
      </c>
    </row>
    <row r="470" spans="1:8" ht="12.75" customHeight="1">
      <c r="A470" s="294"/>
      <c r="B470" s="10">
        <v>4040</v>
      </c>
      <c r="C470" s="14" t="s">
        <v>220</v>
      </c>
      <c r="D470" s="147">
        <v>1560</v>
      </c>
      <c r="E470" s="147"/>
      <c r="F470" s="147"/>
      <c r="G470" s="164">
        <v>3244</v>
      </c>
      <c r="H470" s="90">
        <f t="shared" si="16"/>
        <v>9.157891506707746E-05</v>
      </c>
    </row>
    <row r="471" spans="1:8" ht="13.5" customHeight="1">
      <c r="A471" s="294"/>
      <c r="B471" s="10">
        <v>4110</v>
      </c>
      <c r="C471" s="14" t="s">
        <v>189</v>
      </c>
      <c r="D471" s="147">
        <v>6800</v>
      </c>
      <c r="E471" s="147"/>
      <c r="F471" s="147"/>
      <c r="G471" s="164">
        <v>6231</v>
      </c>
      <c r="H471" s="90">
        <f t="shared" si="16"/>
        <v>0.00017590265714641175</v>
      </c>
    </row>
    <row r="472" spans="1:8" ht="12.75" customHeight="1">
      <c r="A472" s="294"/>
      <c r="B472" s="10">
        <v>4120</v>
      </c>
      <c r="C472" s="14" t="s">
        <v>136</v>
      </c>
      <c r="D472" s="147">
        <v>900</v>
      </c>
      <c r="E472" s="147"/>
      <c r="F472" s="147"/>
      <c r="G472" s="164">
        <v>1200</v>
      </c>
      <c r="H472" s="90">
        <f t="shared" si="16"/>
        <v>3.387629410619388E-05</v>
      </c>
    </row>
    <row r="473" spans="1:8" ht="12.75" customHeight="1">
      <c r="A473" s="294"/>
      <c r="B473" s="10">
        <v>4170</v>
      </c>
      <c r="C473" s="14" t="s">
        <v>192</v>
      </c>
      <c r="D473" s="147">
        <v>12100</v>
      </c>
      <c r="E473" s="147"/>
      <c r="F473" s="147"/>
      <c r="G473" s="164">
        <v>14300</v>
      </c>
      <c r="H473" s="90">
        <f t="shared" si="16"/>
        <v>0.0004036925047654771</v>
      </c>
    </row>
    <row r="474" spans="1:8" ht="12.75" customHeight="1">
      <c r="A474" s="294"/>
      <c r="B474" s="10">
        <v>4210</v>
      </c>
      <c r="C474" s="14" t="s">
        <v>64</v>
      </c>
      <c r="D474" s="147">
        <v>897</v>
      </c>
      <c r="E474" s="147"/>
      <c r="F474" s="147"/>
      <c r="G474" s="164">
        <v>3000</v>
      </c>
      <c r="H474" s="90">
        <f t="shared" si="16"/>
        <v>8.46907352654847E-05</v>
      </c>
    </row>
    <row r="475" spans="1:8" ht="12.75" customHeight="1">
      <c r="A475" s="294"/>
      <c r="B475" s="10">
        <v>4270</v>
      </c>
      <c r="C475" s="14" t="s">
        <v>127</v>
      </c>
      <c r="D475" s="147">
        <v>0</v>
      </c>
      <c r="E475" s="147"/>
      <c r="F475" s="147"/>
      <c r="G475" s="164">
        <v>300</v>
      </c>
      <c r="H475" s="90">
        <f t="shared" si="16"/>
        <v>8.46907352654847E-06</v>
      </c>
    </row>
    <row r="476" spans="1:8" ht="12.75" customHeight="1">
      <c r="A476" s="294"/>
      <c r="B476" s="10">
        <v>4300</v>
      </c>
      <c r="C476" s="11" t="s">
        <v>79</v>
      </c>
      <c r="D476" s="149">
        <v>26700</v>
      </c>
      <c r="E476" s="147"/>
      <c r="F476" s="147"/>
      <c r="G476" s="164">
        <v>31000</v>
      </c>
      <c r="H476" s="90">
        <f t="shared" si="16"/>
        <v>0.0008751375977433419</v>
      </c>
    </row>
    <row r="477" spans="1:8" ht="24">
      <c r="A477" s="294"/>
      <c r="B477" s="45">
        <v>4350</v>
      </c>
      <c r="C477" s="11" t="s">
        <v>299</v>
      </c>
      <c r="D477" s="150">
        <v>500</v>
      </c>
      <c r="E477" s="204"/>
      <c r="F477" s="204"/>
      <c r="G477" s="166">
        <v>400</v>
      </c>
      <c r="H477" s="90">
        <f t="shared" si="16"/>
        <v>1.129209803539796E-05</v>
      </c>
    </row>
    <row r="478" spans="1:8" ht="36">
      <c r="A478" s="294"/>
      <c r="B478" s="45">
        <v>4370</v>
      </c>
      <c r="C478" s="11" t="s">
        <v>292</v>
      </c>
      <c r="D478" s="150">
        <v>1200</v>
      </c>
      <c r="E478" s="204"/>
      <c r="F478" s="204"/>
      <c r="G478" s="166">
        <v>1200</v>
      </c>
      <c r="H478" s="90">
        <f t="shared" si="16"/>
        <v>3.387629410619388E-05</v>
      </c>
    </row>
    <row r="479" spans="1:8" ht="12.75">
      <c r="A479" s="294"/>
      <c r="B479" s="45">
        <v>4410</v>
      </c>
      <c r="C479" s="46" t="s">
        <v>121</v>
      </c>
      <c r="D479" s="150">
        <v>0</v>
      </c>
      <c r="E479" s="204"/>
      <c r="F479" s="204"/>
      <c r="G479" s="166">
        <v>1000</v>
      </c>
      <c r="H479" s="90">
        <f t="shared" si="16"/>
        <v>2.82302450884949E-05</v>
      </c>
    </row>
    <row r="480" spans="1:8" ht="12.75">
      <c r="A480" s="294"/>
      <c r="B480" s="45">
        <v>4440</v>
      </c>
      <c r="C480" s="46" t="s">
        <v>69</v>
      </c>
      <c r="D480" s="150">
        <v>1743</v>
      </c>
      <c r="E480" s="204"/>
      <c r="F480" s="204"/>
      <c r="G480" s="166">
        <v>1800</v>
      </c>
      <c r="H480" s="90">
        <f t="shared" si="16"/>
        <v>5.0814441159290825E-05</v>
      </c>
    </row>
    <row r="481" spans="1:8" ht="36">
      <c r="A481" s="294"/>
      <c r="B481" s="45">
        <v>4700</v>
      </c>
      <c r="C481" s="11" t="s">
        <v>249</v>
      </c>
      <c r="D481" s="150">
        <v>600</v>
      </c>
      <c r="E481" s="204"/>
      <c r="F481" s="204"/>
      <c r="G481" s="166">
        <v>600</v>
      </c>
      <c r="H481" s="90">
        <f t="shared" si="16"/>
        <v>1.693814705309694E-05</v>
      </c>
    </row>
    <row r="482" spans="1:8" ht="36">
      <c r="A482" s="294"/>
      <c r="B482" s="45">
        <v>4740</v>
      </c>
      <c r="C482" s="11" t="s">
        <v>246</v>
      </c>
      <c r="D482" s="150">
        <v>1500</v>
      </c>
      <c r="E482" s="204"/>
      <c r="F482" s="204"/>
      <c r="G482" s="166">
        <v>2000</v>
      </c>
      <c r="H482" s="90">
        <f t="shared" si="16"/>
        <v>5.64604901769898E-05</v>
      </c>
    </row>
    <row r="483" spans="1:8" ht="36.75" thickBot="1">
      <c r="A483" s="294"/>
      <c r="B483" s="45">
        <v>4750</v>
      </c>
      <c r="C483" s="80" t="s">
        <v>310</v>
      </c>
      <c r="D483" s="150">
        <v>2000</v>
      </c>
      <c r="E483" s="204"/>
      <c r="F483" s="204"/>
      <c r="G483" s="166">
        <v>0</v>
      </c>
      <c r="H483" s="90">
        <f t="shared" si="16"/>
        <v>0</v>
      </c>
    </row>
    <row r="484" spans="1:9" ht="15" thickBot="1" thickTop="1">
      <c r="A484" s="228" t="s">
        <v>39</v>
      </c>
      <c r="B484" s="229"/>
      <c r="C484" s="229"/>
      <c r="D484" s="139">
        <f>SUM(D468:D483)</f>
        <v>91700</v>
      </c>
      <c r="E484" s="139">
        <f>SUM(E468:E483)</f>
        <v>0</v>
      </c>
      <c r="F484" s="139">
        <f>SUM(F468:F483)</f>
        <v>0</v>
      </c>
      <c r="G484" s="139">
        <f>SUM(G468:G483)</f>
        <v>108975</v>
      </c>
      <c r="H484" s="91">
        <f>G484/G623</f>
        <v>0.003076390958518732</v>
      </c>
      <c r="I484" t="s">
        <v>236</v>
      </c>
    </row>
    <row r="485" spans="1:8" ht="15" customHeight="1" thickTop="1">
      <c r="A485" s="253">
        <v>85324</v>
      </c>
      <c r="B485" s="235" t="s">
        <v>83</v>
      </c>
      <c r="C485" s="236"/>
      <c r="D485" s="236"/>
      <c r="E485" s="236"/>
      <c r="F485" s="236"/>
      <c r="G485" s="236"/>
      <c r="H485" s="237"/>
    </row>
    <row r="486" spans="1:8" ht="15" customHeight="1">
      <c r="A486" s="232"/>
      <c r="B486" s="10">
        <v>4210</v>
      </c>
      <c r="C486" s="11" t="s">
        <v>64</v>
      </c>
      <c r="D486" s="158">
        <v>12000</v>
      </c>
      <c r="E486" s="142"/>
      <c r="F486" s="142"/>
      <c r="G486" s="164">
        <v>0</v>
      </c>
      <c r="H486" s="93">
        <f>G486/$G$623</f>
        <v>0</v>
      </c>
    </row>
    <row r="487" spans="1:8" ht="15" customHeight="1">
      <c r="A487" s="232"/>
      <c r="B487" s="10">
        <v>4300</v>
      </c>
      <c r="C487" s="11" t="s">
        <v>79</v>
      </c>
      <c r="D487" s="158">
        <v>6000</v>
      </c>
      <c r="E487" s="142"/>
      <c r="F487" s="142"/>
      <c r="G487" s="164">
        <v>0</v>
      </c>
      <c r="H487" s="93">
        <f>G487/$G$623</f>
        <v>0</v>
      </c>
    </row>
    <row r="488" spans="1:8" ht="15" customHeight="1">
      <c r="A488" s="232"/>
      <c r="B488" s="10">
        <v>4410</v>
      </c>
      <c r="C488" s="11" t="s">
        <v>278</v>
      </c>
      <c r="D488" s="158">
        <v>2000</v>
      </c>
      <c r="E488" s="142"/>
      <c r="F488" s="142"/>
      <c r="G488" s="164">
        <v>0</v>
      </c>
      <c r="H488" s="93">
        <f>G488/$G$623</f>
        <v>0</v>
      </c>
    </row>
    <row r="489" spans="1:8" ht="36.75" thickBot="1">
      <c r="A489" s="232"/>
      <c r="B489" s="10">
        <v>4700</v>
      </c>
      <c r="C489" s="11" t="s">
        <v>279</v>
      </c>
      <c r="D489" s="158">
        <v>2000</v>
      </c>
      <c r="E489" s="142"/>
      <c r="F489" s="142"/>
      <c r="G489" s="165">
        <v>0</v>
      </c>
      <c r="H489" s="93">
        <f>G489/$G$623</f>
        <v>0</v>
      </c>
    </row>
    <row r="490" spans="1:9" ht="15" thickBot="1" thickTop="1">
      <c r="A490" s="228" t="s">
        <v>191</v>
      </c>
      <c r="B490" s="229"/>
      <c r="C490" s="229"/>
      <c r="D490" s="139">
        <f>SUM(D486:D489)</f>
        <v>22000</v>
      </c>
      <c r="E490" s="139">
        <f>SUM(E486:E489)</f>
        <v>0</v>
      </c>
      <c r="F490" s="139">
        <f>SUM(F486:F489)</f>
        <v>0</v>
      </c>
      <c r="G490" s="140">
        <f>SUM(G486:G489)</f>
        <v>0</v>
      </c>
      <c r="H490" s="91">
        <f>G490/G623</f>
        <v>0</v>
      </c>
      <c r="I490" t="s">
        <v>236</v>
      </c>
    </row>
    <row r="491" spans="1:8" ht="14.25" thickTop="1">
      <c r="A491" s="250">
        <v>85333</v>
      </c>
      <c r="B491" s="235" t="s">
        <v>40</v>
      </c>
      <c r="C491" s="236"/>
      <c r="D491" s="236"/>
      <c r="E491" s="236"/>
      <c r="F491" s="236"/>
      <c r="G491" s="236"/>
      <c r="H491" s="237"/>
    </row>
    <row r="492" spans="1:8" ht="24">
      <c r="A492" s="251"/>
      <c r="B492" s="10">
        <v>4010</v>
      </c>
      <c r="C492" s="11" t="s">
        <v>295</v>
      </c>
      <c r="D492" s="158">
        <v>953637</v>
      </c>
      <c r="E492" s="142"/>
      <c r="F492" s="142"/>
      <c r="G492" s="159">
        <v>1136000</v>
      </c>
      <c r="H492" s="93">
        <f>G492/$G$623</f>
        <v>0.032069558420530206</v>
      </c>
    </row>
    <row r="493" spans="1:8" ht="24">
      <c r="A493" s="251"/>
      <c r="B493" s="10">
        <v>4018</v>
      </c>
      <c r="C493" s="11" t="s">
        <v>295</v>
      </c>
      <c r="D493" s="158">
        <v>24631</v>
      </c>
      <c r="E493" s="142"/>
      <c r="F493" s="142"/>
      <c r="G493" s="159">
        <v>0</v>
      </c>
      <c r="H493" s="93">
        <f aca="true" t="shared" si="17" ref="H493:H517">G493/$G$623</f>
        <v>0</v>
      </c>
    </row>
    <row r="494" spans="1:8" ht="24">
      <c r="A494" s="251"/>
      <c r="B494" s="10">
        <v>4019</v>
      </c>
      <c r="C494" s="11" t="s">
        <v>295</v>
      </c>
      <c r="D494" s="158">
        <v>9039</v>
      </c>
      <c r="E494" s="142"/>
      <c r="F494" s="142"/>
      <c r="G494" s="159">
        <v>0</v>
      </c>
      <c r="H494" s="93">
        <f t="shared" si="17"/>
        <v>0</v>
      </c>
    </row>
    <row r="495" spans="1:8" ht="12.75" customHeight="1">
      <c r="A495" s="251"/>
      <c r="B495" s="10">
        <v>4040</v>
      </c>
      <c r="C495" s="11" t="s">
        <v>82</v>
      </c>
      <c r="D495" s="158">
        <v>65582</v>
      </c>
      <c r="E495" s="142"/>
      <c r="F495" s="142"/>
      <c r="G495" s="159">
        <v>79000</v>
      </c>
      <c r="H495" s="93">
        <f t="shared" si="17"/>
        <v>0.0022301893619910973</v>
      </c>
    </row>
    <row r="496" spans="1:8" ht="12.75" customHeight="1">
      <c r="A496" s="251"/>
      <c r="B496" s="10">
        <v>4048</v>
      </c>
      <c r="C496" s="11" t="s">
        <v>82</v>
      </c>
      <c r="D496" s="158">
        <v>1961</v>
      </c>
      <c r="E496" s="142"/>
      <c r="F496" s="142"/>
      <c r="G496" s="159">
        <v>0</v>
      </c>
      <c r="H496" s="93">
        <f t="shared" si="17"/>
        <v>0</v>
      </c>
    </row>
    <row r="497" spans="1:8" ht="12.75" customHeight="1">
      <c r="A497" s="251"/>
      <c r="B497" s="10">
        <v>4049</v>
      </c>
      <c r="C497" s="11" t="s">
        <v>82</v>
      </c>
      <c r="D497" s="158">
        <v>720</v>
      </c>
      <c r="E497" s="142"/>
      <c r="F497" s="142"/>
      <c r="G497" s="159">
        <v>0</v>
      </c>
      <c r="H497" s="93">
        <f t="shared" si="17"/>
        <v>0</v>
      </c>
    </row>
    <row r="498" spans="1:8" ht="14.25" customHeight="1">
      <c r="A498" s="251"/>
      <c r="B498" s="10">
        <v>4110</v>
      </c>
      <c r="C498" s="11" t="s">
        <v>81</v>
      </c>
      <c r="D498" s="158">
        <v>174374</v>
      </c>
      <c r="E498" s="142"/>
      <c r="F498" s="142"/>
      <c r="G498" s="159">
        <v>184000</v>
      </c>
      <c r="H498" s="93">
        <f t="shared" si="17"/>
        <v>0.005194365096283062</v>
      </c>
    </row>
    <row r="499" spans="1:8" ht="12.75" customHeight="1">
      <c r="A499" s="251"/>
      <c r="B499" s="10">
        <v>4118</v>
      </c>
      <c r="C499" s="11" t="s">
        <v>81</v>
      </c>
      <c r="D499" s="158">
        <v>4547</v>
      </c>
      <c r="E499" s="142"/>
      <c r="F499" s="142"/>
      <c r="G499" s="159">
        <v>0</v>
      </c>
      <c r="H499" s="93">
        <f t="shared" si="17"/>
        <v>0</v>
      </c>
    </row>
    <row r="500" spans="1:8" ht="12.75" customHeight="1">
      <c r="A500" s="251"/>
      <c r="B500" s="10">
        <v>4119</v>
      </c>
      <c r="C500" s="11" t="s">
        <v>81</v>
      </c>
      <c r="D500" s="158">
        <v>1669</v>
      </c>
      <c r="E500" s="142"/>
      <c r="F500" s="142"/>
      <c r="G500" s="159">
        <v>0</v>
      </c>
      <c r="H500" s="93">
        <f t="shared" si="17"/>
        <v>0</v>
      </c>
    </row>
    <row r="501" spans="1:8" ht="12.75" customHeight="1">
      <c r="A501" s="251"/>
      <c r="B501" s="10">
        <v>4120</v>
      </c>
      <c r="C501" s="11" t="s">
        <v>80</v>
      </c>
      <c r="D501" s="158">
        <v>24979</v>
      </c>
      <c r="E501" s="142"/>
      <c r="F501" s="142"/>
      <c r="G501" s="159">
        <v>30000</v>
      </c>
      <c r="H501" s="93">
        <f t="shared" si="17"/>
        <v>0.0008469073526548471</v>
      </c>
    </row>
    <row r="502" spans="1:8" ht="12.75" customHeight="1">
      <c r="A502" s="251"/>
      <c r="B502" s="10">
        <v>4128</v>
      </c>
      <c r="C502" s="11" t="s">
        <v>80</v>
      </c>
      <c r="D502" s="158">
        <v>652</v>
      </c>
      <c r="E502" s="142"/>
      <c r="F502" s="142"/>
      <c r="G502" s="159">
        <v>0</v>
      </c>
      <c r="H502" s="93">
        <f t="shared" si="17"/>
        <v>0</v>
      </c>
    </row>
    <row r="503" spans="1:8" ht="12.75" customHeight="1">
      <c r="A503" s="251"/>
      <c r="B503" s="10">
        <v>4129</v>
      </c>
      <c r="C503" s="11" t="s">
        <v>80</v>
      </c>
      <c r="D503" s="158">
        <v>239</v>
      </c>
      <c r="E503" s="142"/>
      <c r="F503" s="142"/>
      <c r="G503" s="159">
        <v>0</v>
      </c>
      <c r="H503" s="93">
        <f t="shared" si="17"/>
        <v>0</v>
      </c>
    </row>
    <row r="504" spans="1:8" ht="12.75" customHeight="1">
      <c r="A504" s="251"/>
      <c r="B504" s="10">
        <v>4170</v>
      </c>
      <c r="C504" s="11" t="s">
        <v>192</v>
      </c>
      <c r="D504" s="158">
        <v>430</v>
      </c>
      <c r="E504" s="142"/>
      <c r="F504" s="142"/>
      <c r="G504" s="159">
        <v>0</v>
      </c>
      <c r="H504" s="93">
        <f t="shared" si="17"/>
        <v>0</v>
      </c>
    </row>
    <row r="505" spans="1:8" ht="12.75" customHeight="1">
      <c r="A505" s="251"/>
      <c r="B505" s="10">
        <v>4210</v>
      </c>
      <c r="C505" s="11" t="s">
        <v>64</v>
      </c>
      <c r="D505" s="158">
        <v>15299</v>
      </c>
      <c r="E505" s="142"/>
      <c r="F505" s="142"/>
      <c r="G505" s="159">
        <v>22000</v>
      </c>
      <c r="H505" s="93">
        <f t="shared" si="17"/>
        <v>0.0006210653919468879</v>
      </c>
    </row>
    <row r="506" spans="1:8" ht="12.75" customHeight="1">
      <c r="A506" s="251"/>
      <c r="B506" s="10">
        <v>4260</v>
      </c>
      <c r="C506" s="11" t="s">
        <v>126</v>
      </c>
      <c r="D506" s="158">
        <v>21000</v>
      </c>
      <c r="E506" s="142"/>
      <c r="F506" s="142"/>
      <c r="G506" s="159">
        <v>24000</v>
      </c>
      <c r="H506" s="93">
        <f t="shared" si="17"/>
        <v>0.0006775258821238776</v>
      </c>
    </row>
    <row r="507" spans="1:8" ht="12.75" customHeight="1">
      <c r="A507" s="251"/>
      <c r="B507" s="10">
        <v>4270</v>
      </c>
      <c r="C507" s="11" t="s">
        <v>127</v>
      </c>
      <c r="D507" s="158">
        <v>1000</v>
      </c>
      <c r="E507" s="142"/>
      <c r="F507" s="142"/>
      <c r="G507" s="159">
        <v>1211</v>
      </c>
      <c r="H507" s="93">
        <f t="shared" si="17"/>
        <v>3.418682680216733E-05</v>
      </c>
    </row>
    <row r="508" spans="1:8" ht="12.75" customHeight="1">
      <c r="A508" s="251"/>
      <c r="B508" s="10">
        <v>4280</v>
      </c>
      <c r="C508" s="11" t="s">
        <v>280</v>
      </c>
      <c r="D508" s="158">
        <v>1000</v>
      </c>
      <c r="E508" s="142"/>
      <c r="F508" s="142"/>
      <c r="G508" s="159">
        <v>1100</v>
      </c>
      <c r="H508" s="93">
        <f t="shared" si="17"/>
        <v>3.105326959734439E-05</v>
      </c>
    </row>
    <row r="509" spans="1:8" ht="12.75" customHeight="1">
      <c r="A509" s="251"/>
      <c r="B509" s="10">
        <v>4300</v>
      </c>
      <c r="C509" s="11" t="s">
        <v>79</v>
      </c>
      <c r="D509" s="158">
        <v>39000</v>
      </c>
      <c r="E509" s="142"/>
      <c r="F509" s="142"/>
      <c r="G509" s="159">
        <v>28000</v>
      </c>
      <c r="H509" s="93">
        <f t="shared" si="17"/>
        <v>0.0007904468624778572</v>
      </c>
    </row>
    <row r="510" spans="1:8" ht="24">
      <c r="A510" s="251"/>
      <c r="B510" s="10">
        <v>4360</v>
      </c>
      <c r="C510" s="11" t="s">
        <v>318</v>
      </c>
      <c r="D510" s="158">
        <v>2500</v>
      </c>
      <c r="E510" s="142"/>
      <c r="F510" s="142"/>
      <c r="G510" s="159">
        <v>3000</v>
      </c>
      <c r="H510" s="93">
        <f t="shared" si="17"/>
        <v>8.46907352654847E-05</v>
      </c>
    </row>
    <row r="511" spans="1:8" ht="36">
      <c r="A511" s="251"/>
      <c r="B511" s="10">
        <v>4370</v>
      </c>
      <c r="C511" s="11" t="s">
        <v>319</v>
      </c>
      <c r="D511" s="158">
        <v>16500</v>
      </c>
      <c r="E511" s="142"/>
      <c r="F511" s="142"/>
      <c r="G511" s="159">
        <v>17000</v>
      </c>
      <c r="H511" s="93">
        <f t="shared" si="17"/>
        <v>0.00047991416650441335</v>
      </c>
    </row>
    <row r="512" spans="1:8" ht="24">
      <c r="A512" s="251"/>
      <c r="B512" s="10">
        <v>4400</v>
      </c>
      <c r="C512" s="11" t="s">
        <v>251</v>
      </c>
      <c r="D512" s="158">
        <v>11000</v>
      </c>
      <c r="E512" s="142"/>
      <c r="F512" s="142"/>
      <c r="G512" s="159">
        <v>26000</v>
      </c>
      <c r="H512" s="93">
        <f t="shared" si="17"/>
        <v>0.0007339863723008675</v>
      </c>
    </row>
    <row r="513" spans="1:8" ht="12.75" customHeight="1">
      <c r="A513" s="251"/>
      <c r="B513" s="10">
        <v>4410</v>
      </c>
      <c r="C513" s="11" t="s">
        <v>67</v>
      </c>
      <c r="D513" s="158">
        <v>1151</v>
      </c>
      <c r="E513" s="142"/>
      <c r="F513" s="142"/>
      <c r="G513" s="159">
        <v>1200</v>
      </c>
      <c r="H513" s="93">
        <f t="shared" si="17"/>
        <v>3.387629410619388E-05</v>
      </c>
    </row>
    <row r="514" spans="1:8" ht="12.75" customHeight="1">
      <c r="A514" s="251"/>
      <c r="B514" s="10">
        <v>4430</v>
      </c>
      <c r="C514" s="11" t="s">
        <v>78</v>
      </c>
      <c r="D514" s="158">
        <v>5749</v>
      </c>
      <c r="E514" s="142"/>
      <c r="F514" s="142"/>
      <c r="G514" s="159">
        <v>6000</v>
      </c>
      <c r="H514" s="93">
        <f t="shared" si="17"/>
        <v>0.0001693814705309694</v>
      </c>
    </row>
    <row r="515" spans="1:8" ht="12.75" customHeight="1">
      <c r="A515" s="251"/>
      <c r="B515" s="10">
        <v>4440</v>
      </c>
      <c r="C515" s="11" t="s">
        <v>69</v>
      </c>
      <c r="D515" s="158">
        <v>32989</v>
      </c>
      <c r="E515" s="142"/>
      <c r="F515" s="142"/>
      <c r="G515" s="159">
        <v>32989</v>
      </c>
      <c r="H515" s="93">
        <f t="shared" si="17"/>
        <v>0.0009312875552243583</v>
      </c>
    </row>
    <row r="516" spans="1:8" ht="36">
      <c r="A516" s="251"/>
      <c r="B516" s="117">
        <v>4700</v>
      </c>
      <c r="C516" s="11" t="s">
        <v>249</v>
      </c>
      <c r="D516" s="205">
        <v>1000</v>
      </c>
      <c r="E516" s="206"/>
      <c r="F516" s="206"/>
      <c r="G516" s="207">
        <v>1000</v>
      </c>
      <c r="H516" s="93">
        <f t="shared" si="17"/>
        <v>2.82302450884949E-05</v>
      </c>
    </row>
    <row r="517" spans="1:8" ht="36.75" thickBot="1">
      <c r="A517" s="252"/>
      <c r="B517" s="79">
        <v>4750</v>
      </c>
      <c r="C517" s="80" t="s">
        <v>310</v>
      </c>
      <c r="D517" s="172">
        <v>1000</v>
      </c>
      <c r="E517" s="173"/>
      <c r="F517" s="173"/>
      <c r="G517" s="174">
        <v>1000</v>
      </c>
      <c r="H517" s="93">
        <f t="shared" si="17"/>
        <v>2.82302450884949E-05</v>
      </c>
    </row>
    <row r="518" spans="1:9" ht="15" thickBot="1" thickTop="1">
      <c r="A518" s="228" t="s">
        <v>41</v>
      </c>
      <c r="B518" s="229"/>
      <c r="C518" s="229"/>
      <c r="D518" s="139">
        <f>SUM(D492:D517)</f>
        <v>1411648</v>
      </c>
      <c r="E518" s="139" t="e">
        <f>SUM(E492:E515)-#REF!</f>
        <v>#REF!</v>
      </c>
      <c r="F518" s="139" t="e">
        <f>SUM(F492:F515)-#REF!</f>
        <v>#REF!</v>
      </c>
      <c r="G518" s="140">
        <f>SUM(G492:G517)</f>
        <v>1593500</v>
      </c>
      <c r="H518" s="91">
        <f>G518/G623</f>
        <v>0.044984895548516625</v>
      </c>
      <c r="I518" t="s">
        <v>236</v>
      </c>
    </row>
    <row r="519" spans="1:8" ht="15" customHeight="1" thickTop="1">
      <c r="A519" s="253">
        <v>85395</v>
      </c>
      <c r="B519" s="235" t="s">
        <v>56</v>
      </c>
      <c r="C519" s="236"/>
      <c r="D519" s="236"/>
      <c r="E519" s="236"/>
      <c r="F519" s="236"/>
      <c r="G519" s="236"/>
      <c r="H519" s="237"/>
    </row>
    <row r="520" spans="1:8" ht="12.75">
      <c r="A520" s="251"/>
      <c r="B520" s="10">
        <v>3110</v>
      </c>
      <c r="C520" s="11" t="s">
        <v>108</v>
      </c>
      <c r="D520" s="158">
        <v>8550</v>
      </c>
      <c r="E520" s="142"/>
      <c r="F520" s="142"/>
      <c r="G520" s="159">
        <v>0</v>
      </c>
      <c r="H520" s="93">
        <f>G520/$G$623</f>
        <v>0</v>
      </c>
    </row>
    <row r="521" spans="1:8" ht="24">
      <c r="A521" s="251"/>
      <c r="B521" s="10">
        <v>4010</v>
      </c>
      <c r="C521" s="11" t="s">
        <v>181</v>
      </c>
      <c r="D521" s="158">
        <v>3000</v>
      </c>
      <c r="E521" s="142"/>
      <c r="F521" s="142"/>
      <c r="G521" s="159">
        <v>0</v>
      </c>
      <c r="H521" s="93">
        <f>G521/$G$623</f>
        <v>0</v>
      </c>
    </row>
    <row r="522" spans="1:8" ht="18.75" customHeight="1">
      <c r="A522" s="251"/>
      <c r="B522" s="10">
        <v>4110</v>
      </c>
      <c r="C522" s="11" t="s">
        <v>189</v>
      </c>
      <c r="D522" s="158">
        <v>3450</v>
      </c>
      <c r="E522" s="142"/>
      <c r="F522" s="142"/>
      <c r="G522" s="159">
        <v>0</v>
      </c>
      <c r="H522" s="93">
        <f>G522/$G$623</f>
        <v>0</v>
      </c>
    </row>
    <row r="523" spans="1:8" ht="13.5" thickBot="1">
      <c r="A523" s="251"/>
      <c r="B523" s="10">
        <v>4300</v>
      </c>
      <c r="C523" s="11" t="s">
        <v>79</v>
      </c>
      <c r="D523" s="158">
        <v>3000</v>
      </c>
      <c r="E523" s="142"/>
      <c r="F523" s="142"/>
      <c r="G523" s="159">
        <v>0</v>
      </c>
      <c r="H523" s="93">
        <f>G523/$G$623</f>
        <v>0</v>
      </c>
    </row>
    <row r="524" spans="1:9" ht="15" thickBot="1" thickTop="1">
      <c r="A524" s="228" t="s">
        <v>205</v>
      </c>
      <c r="B524" s="229"/>
      <c r="C524" s="229"/>
      <c r="D524" s="139">
        <f>SUM(D520:D523)</f>
        <v>18000</v>
      </c>
      <c r="E524" s="139">
        <f>SUM(E520:E523)</f>
        <v>0</v>
      </c>
      <c r="F524" s="139">
        <f>SUM(F520:F523)</f>
        <v>0</v>
      </c>
      <c r="G524" s="139">
        <f>SUM(G520:G523)</f>
        <v>0</v>
      </c>
      <c r="H524" s="91">
        <f>G524/G623</f>
        <v>0</v>
      </c>
      <c r="I524" t="s">
        <v>236</v>
      </c>
    </row>
    <row r="525" spans="1:8" ht="16.5" thickBot="1" thickTop="1">
      <c r="A525" s="230" t="s">
        <v>42</v>
      </c>
      <c r="B525" s="231"/>
      <c r="C525" s="231"/>
      <c r="D525" s="135">
        <f>D524+D518+D490+D484+D466</f>
        <v>1564528</v>
      </c>
      <c r="E525" s="135" t="e">
        <f>E524+E518+E490+E484+E466</f>
        <v>#REF!</v>
      </c>
      <c r="F525" s="135" t="e">
        <f>F524+F518+F490+F484+F466</f>
        <v>#REF!</v>
      </c>
      <c r="G525" s="135">
        <f>G524+G518+G490+G484+G466</f>
        <v>1744835</v>
      </c>
      <c r="H525" s="92">
        <f>G525/G623</f>
        <v>0.049257119688984004</v>
      </c>
    </row>
    <row r="526" spans="1:8" ht="21.75" customHeight="1" thickBot="1" thickTop="1">
      <c r="A526" s="244" t="s">
        <v>46</v>
      </c>
      <c r="B526" s="245"/>
      <c r="C526" s="245"/>
      <c r="D526" s="245"/>
      <c r="E526" s="245"/>
      <c r="F526" s="245"/>
      <c r="G526" s="245"/>
      <c r="H526" s="246"/>
    </row>
    <row r="527" spans="1:8" ht="15" customHeight="1" thickTop="1">
      <c r="A527" s="250">
        <v>85406</v>
      </c>
      <c r="B527" s="235" t="s">
        <v>109</v>
      </c>
      <c r="C527" s="236"/>
      <c r="D527" s="236"/>
      <c r="E527" s="236"/>
      <c r="F527" s="236"/>
      <c r="G527" s="236"/>
      <c r="H527" s="237"/>
    </row>
    <row r="528" spans="1:8" ht="24">
      <c r="A528" s="251"/>
      <c r="B528" s="13">
        <v>3020</v>
      </c>
      <c r="C528" s="11" t="s">
        <v>200</v>
      </c>
      <c r="D528" s="158">
        <v>1600</v>
      </c>
      <c r="E528" s="142"/>
      <c r="F528" s="142"/>
      <c r="G528" s="159">
        <v>1900</v>
      </c>
      <c r="H528" s="93">
        <f>G528/$G$623</f>
        <v>5.3637465668140314E-05</v>
      </c>
    </row>
    <row r="529" spans="1:8" ht="24">
      <c r="A529" s="251"/>
      <c r="B529" s="10">
        <v>4010</v>
      </c>
      <c r="C529" s="11" t="s">
        <v>295</v>
      </c>
      <c r="D529" s="158">
        <v>363500</v>
      </c>
      <c r="E529" s="142"/>
      <c r="F529" s="142"/>
      <c r="G529" s="159">
        <v>437700</v>
      </c>
      <c r="H529" s="93">
        <f aca="true" t="shared" si="18" ref="H529:H547">G529/$G$623</f>
        <v>0.012356378275234219</v>
      </c>
    </row>
    <row r="530" spans="1:8" ht="12.75">
      <c r="A530" s="251"/>
      <c r="B530" s="10">
        <v>4040</v>
      </c>
      <c r="C530" s="11" t="s">
        <v>82</v>
      </c>
      <c r="D530" s="158">
        <v>21900</v>
      </c>
      <c r="E530" s="142"/>
      <c r="F530" s="142"/>
      <c r="G530" s="159">
        <v>26900</v>
      </c>
      <c r="H530" s="93">
        <f t="shared" si="18"/>
        <v>0.0007593935928805128</v>
      </c>
    </row>
    <row r="531" spans="1:8" ht="17.25" customHeight="1">
      <c r="A531" s="251"/>
      <c r="B531" s="10">
        <v>4110</v>
      </c>
      <c r="C531" s="11" t="s">
        <v>81</v>
      </c>
      <c r="D531" s="158">
        <v>59300</v>
      </c>
      <c r="E531" s="142"/>
      <c r="F531" s="142"/>
      <c r="G531" s="159">
        <v>80000</v>
      </c>
      <c r="H531" s="93">
        <f t="shared" si="18"/>
        <v>0.002258419607079592</v>
      </c>
    </row>
    <row r="532" spans="1:8" ht="12.75">
      <c r="A532" s="251"/>
      <c r="B532" s="10">
        <v>4120</v>
      </c>
      <c r="C532" s="11" t="s">
        <v>80</v>
      </c>
      <c r="D532" s="158">
        <v>9800</v>
      </c>
      <c r="E532" s="142"/>
      <c r="F532" s="142"/>
      <c r="G532" s="159">
        <v>11400</v>
      </c>
      <c r="H532" s="93">
        <f t="shared" si="18"/>
        <v>0.00032182479400884187</v>
      </c>
    </row>
    <row r="533" spans="1:8" ht="12.75">
      <c r="A533" s="251"/>
      <c r="B533" s="10">
        <v>4170</v>
      </c>
      <c r="C533" s="11" t="s">
        <v>192</v>
      </c>
      <c r="D533" s="158">
        <v>300</v>
      </c>
      <c r="E533" s="142"/>
      <c r="F533" s="142"/>
      <c r="G533" s="159">
        <v>300</v>
      </c>
      <c r="H533" s="93">
        <f t="shared" si="18"/>
        <v>8.46907352654847E-06</v>
      </c>
    </row>
    <row r="534" spans="1:8" ht="12.75">
      <c r="A534" s="251"/>
      <c r="B534" s="10">
        <v>4210</v>
      </c>
      <c r="C534" s="11" t="s">
        <v>64</v>
      </c>
      <c r="D534" s="158">
        <v>16662</v>
      </c>
      <c r="E534" s="142"/>
      <c r="F534" s="142"/>
      <c r="G534" s="159">
        <v>10700</v>
      </c>
      <c r="H534" s="93">
        <f t="shared" si="18"/>
        <v>0.00030206362244689544</v>
      </c>
    </row>
    <row r="535" spans="1:8" ht="12.75">
      <c r="A535" s="251"/>
      <c r="B535" s="10">
        <v>4240</v>
      </c>
      <c r="C535" s="11" t="s">
        <v>97</v>
      </c>
      <c r="D535" s="158">
        <v>1000</v>
      </c>
      <c r="E535" s="142"/>
      <c r="F535" s="142"/>
      <c r="G535" s="159">
        <v>1000</v>
      </c>
      <c r="H535" s="93">
        <f t="shared" si="18"/>
        <v>2.82302450884949E-05</v>
      </c>
    </row>
    <row r="536" spans="1:8" ht="12.75">
      <c r="A536" s="251"/>
      <c r="B536" s="10">
        <v>4260</v>
      </c>
      <c r="C536" s="11" t="s">
        <v>126</v>
      </c>
      <c r="D536" s="158">
        <v>7300</v>
      </c>
      <c r="E536" s="142"/>
      <c r="F536" s="142"/>
      <c r="G536" s="159">
        <v>7500</v>
      </c>
      <c r="H536" s="93">
        <f t="shared" si="18"/>
        <v>0.00021172683816371177</v>
      </c>
    </row>
    <row r="537" spans="1:8" ht="12.75">
      <c r="A537" s="251"/>
      <c r="B537" s="10">
        <v>4270</v>
      </c>
      <c r="C537" s="11" t="s">
        <v>127</v>
      </c>
      <c r="D537" s="158">
        <v>10700</v>
      </c>
      <c r="E537" s="142"/>
      <c r="F537" s="142"/>
      <c r="G537" s="159">
        <v>2000</v>
      </c>
      <c r="H537" s="93">
        <f t="shared" si="18"/>
        <v>5.64604901769898E-05</v>
      </c>
    </row>
    <row r="538" spans="1:8" ht="12.75">
      <c r="A538" s="251"/>
      <c r="B538" s="10">
        <v>4280</v>
      </c>
      <c r="C538" s="11" t="s">
        <v>99</v>
      </c>
      <c r="D538" s="158">
        <v>0</v>
      </c>
      <c r="E538" s="142"/>
      <c r="F538" s="142"/>
      <c r="G538" s="159">
        <v>100</v>
      </c>
      <c r="H538" s="93">
        <f t="shared" si="18"/>
        <v>2.82302450884949E-06</v>
      </c>
    </row>
    <row r="539" spans="1:8" ht="12.75">
      <c r="A539" s="251"/>
      <c r="B539" s="10">
        <v>4300</v>
      </c>
      <c r="C539" s="11" t="s">
        <v>79</v>
      </c>
      <c r="D539" s="158">
        <v>6900</v>
      </c>
      <c r="E539" s="142"/>
      <c r="F539" s="142"/>
      <c r="G539" s="159">
        <v>5100</v>
      </c>
      <c r="H539" s="93">
        <f t="shared" si="18"/>
        <v>0.000143974249951324</v>
      </c>
    </row>
    <row r="540" spans="1:8" ht="24">
      <c r="A540" s="251"/>
      <c r="B540" s="10">
        <v>4350</v>
      </c>
      <c r="C540" s="11" t="s">
        <v>255</v>
      </c>
      <c r="D540" s="158">
        <v>396</v>
      </c>
      <c r="E540" s="142"/>
      <c r="F540" s="142"/>
      <c r="G540" s="159">
        <v>500</v>
      </c>
      <c r="H540" s="93">
        <f t="shared" si="18"/>
        <v>1.411512254424745E-05</v>
      </c>
    </row>
    <row r="541" spans="1:8" ht="36">
      <c r="A541" s="251"/>
      <c r="B541" s="10">
        <v>4370</v>
      </c>
      <c r="C541" s="11" t="s">
        <v>311</v>
      </c>
      <c r="D541" s="158">
        <v>3500</v>
      </c>
      <c r="E541" s="142"/>
      <c r="F541" s="142"/>
      <c r="G541" s="159">
        <v>3600</v>
      </c>
      <c r="H541" s="93">
        <f t="shared" si="18"/>
        <v>0.00010162888231858165</v>
      </c>
    </row>
    <row r="542" spans="1:8" ht="12.75">
      <c r="A542" s="251"/>
      <c r="B542" s="10">
        <v>4410</v>
      </c>
      <c r="C542" s="11" t="s">
        <v>308</v>
      </c>
      <c r="D542" s="158">
        <v>1500</v>
      </c>
      <c r="E542" s="142"/>
      <c r="F542" s="142"/>
      <c r="G542" s="159">
        <v>1600</v>
      </c>
      <c r="H542" s="93">
        <f t="shared" si="18"/>
        <v>4.516839214159184E-05</v>
      </c>
    </row>
    <row r="543" spans="1:8" ht="12.75">
      <c r="A543" s="251"/>
      <c r="B543" s="45">
        <v>4430</v>
      </c>
      <c r="C543" s="46" t="s">
        <v>78</v>
      </c>
      <c r="D543" s="136">
        <v>442</v>
      </c>
      <c r="E543" s="137"/>
      <c r="F543" s="137"/>
      <c r="G543" s="138">
        <v>700</v>
      </c>
      <c r="H543" s="93">
        <f t="shared" si="18"/>
        <v>1.9761171561946432E-05</v>
      </c>
    </row>
    <row r="544" spans="1:8" ht="12.75">
      <c r="A544" s="251"/>
      <c r="B544" s="45">
        <v>4440</v>
      </c>
      <c r="C544" s="46" t="s">
        <v>69</v>
      </c>
      <c r="D544" s="136">
        <v>21800</v>
      </c>
      <c r="E544" s="137"/>
      <c r="F544" s="137"/>
      <c r="G544" s="138">
        <v>25100</v>
      </c>
      <c r="H544" s="93">
        <f t="shared" si="18"/>
        <v>0.000708579151721222</v>
      </c>
    </row>
    <row r="545" spans="1:8" ht="36">
      <c r="A545" s="294"/>
      <c r="B545" s="10">
        <v>4700</v>
      </c>
      <c r="C545" s="11" t="s">
        <v>249</v>
      </c>
      <c r="D545" s="158">
        <v>1100</v>
      </c>
      <c r="E545" s="142"/>
      <c r="F545" s="142"/>
      <c r="G545" s="159">
        <v>1000</v>
      </c>
      <c r="H545" s="93">
        <f t="shared" si="18"/>
        <v>2.82302450884949E-05</v>
      </c>
    </row>
    <row r="546" spans="1:8" ht="36">
      <c r="A546" s="294"/>
      <c r="B546" s="10">
        <v>4740</v>
      </c>
      <c r="C546" s="11" t="s">
        <v>246</v>
      </c>
      <c r="D546" s="158">
        <v>500</v>
      </c>
      <c r="E546" s="142"/>
      <c r="F546" s="142"/>
      <c r="G546" s="159">
        <v>900</v>
      </c>
      <c r="H546" s="93">
        <f t="shared" si="18"/>
        <v>2.5407220579645413E-05</v>
      </c>
    </row>
    <row r="547" spans="1:8" ht="36.75" thickBot="1">
      <c r="A547" s="265"/>
      <c r="B547" s="79">
        <v>4750</v>
      </c>
      <c r="C547" s="80" t="s">
        <v>310</v>
      </c>
      <c r="D547" s="172">
        <v>2500</v>
      </c>
      <c r="E547" s="173"/>
      <c r="F547" s="173"/>
      <c r="G547" s="174">
        <v>2000</v>
      </c>
      <c r="H547" s="93">
        <f t="shared" si="18"/>
        <v>5.64604901769898E-05</v>
      </c>
    </row>
    <row r="548" spans="1:9" ht="15" thickBot="1" thickTop="1">
      <c r="A548" s="228" t="s">
        <v>110</v>
      </c>
      <c r="B548" s="229"/>
      <c r="C548" s="229"/>
      <c r="D548" s="139">
        <f>SUM(D528:D547)</f>
        <v>530700</v>
      </c>
      <c r="E548" s="139">
        <f>SUM(E528:E544)</f>
        <v>0</v>
      </c>
      <c r="F548" s="139">
        <f>SUM(F528:F544)</f>
        <v>0</v>
      </c>
      <c r="G548" s="140">
        <f>SUM(G528:G547)</f>
        <v>620000</v>
      </c>
      <c r="H548" s="91">
        <f>G548/G623</f>
        <v>0.01750275195486684</v>
      </c>
      <c r="I548" t="s">
        <v>236</v>
      </c>
    </row>
    <row r="549" spans="1:8" ht="14.25" thickTop="1">
      <c r="A549" s="250">
        <v>85410</v>
      </c>
      <c r="B549" s="235" t="s">
        <v>14</v>
      </c>
      <c r="C549" s="236"/>
      <c r="D549" s="236"/>
      <c r="E549" s="236"/>
      <c r="F549" s="236"/>
      <c r="G549" s="236"/>
      <c r="H549" s="237"/>
    </row>
    <row r="550" spans="1:8" ht="24">
      <c r="A550" s="251"/>
      <c r="B550" s="13">
        <v>3020</v>
      </c>
      <c r="C550" s="11" t="s">
        <v>200</v>
      </c>
      <c r="D550" s="158">
        <v>8800</v>
      </c>
      <c r="E550" s="142"/>
      <c r="F550" s="142"/>
      <c r="G550" s="159">
        <v>8300</v>
      </c>
      <c r="H550" s="93">
        <f>G550/$G$623</f>
        <v>0.00023431103423450768</v>
      </c>
    </row>
    <row r="551" spans="1:8" ht="24">
      <c r="A551" s="251"/>
      <c r="B551" s="10">
        <v>4010</v>
      </c>
      <c r="C551" s="11" t="s">
        <v>295</v>
      </c>
      <c r="D551" s="158">
        <v>429338</v>
      </c>
      <c r="E551" s="142"/>
      <c r="F551" s="142"/>
      <c r="G551" s="159">
        <v>352250</v>
      </c>
      <c r="H551" s="93">
        <f aca="true" t="shared" si="19" ref="H551:H567">G551/$G$623</f>
        <v>0.00994410383242233</v>
      </c>
    </row>
    <row r="552" spans="1:8" ht="12.75" customHeight="1">
      <c r="A552" s="251"/>
      <c r="B552" s="10">
        <v>4040</v>
      </c>
      <c r="C552" s="11" t="s">
        <v>82</v>
      </c>
      <c r="D552" s="158">
        <v>31708</v>
      </c>
      <c r="E552" s="142"/>
      <c r="F552" s="142"/>
      <c r="G552" s="159">
        <v>27700</v>
      </c>
      <c r="H552" s="93">
        <f t="shared" si="19"/>
        <v>0.0007819777889513088</v>
      </c>
    </row>
    <row r="553" spans="1:8" ht="24">
      <c r="A553" s="251"/>
      <c r="B553" s="10">
        <v>4110</v>
      </c>
      <c r="C553" s="11" t="s">
        <v>81</v>
      </c>
      <c r="D553" s="158">
        <v>78698</v>
      </c>
      <c r="E553" s="142"/>
      <c r="F553" s="142"/>
      <c r="G553" s="159">
        <v>57690</v>
      </c>
      <c r="H553" s="93">
        <f t="shared" si="19"/>
        <v>0.001628602839155271</v>
      </c>
    </row>
    <row r="554" spans="1:8" ht="12.75" customHeight="1">
      <c r="A554" s="251"/>
      <c r="B554" s="10">
        <v>4120</v>
      </c>
      <c r="C554" s="11" t="s">
        <v>80</v>
      </c>
      <c r="D554" s="158">
        <v>10913</v>
      </c>
      <c r="E554" s="142"/>
      <c r="F554" s="142"/>
      <c r="G554" s="159">
        <v>9410</v>
      </c>
      <c r="H554" s="93">
        <f t="shared" si="19"/>
        <v>0.00026564660628273704</v>
      </c>
    </row>
    <row r="555" spans="1:8" ht="12.75" customHeight="1">
      <c r="A555" s="251"/>
      <c r="B555" s="10">
        <v>4210</v>
      </c>
      <c r="C555" s="11" t="s">
        <v>64</v>
      </c>
      <c r="D555" s="158">
        <v>135650</v>
      </c>
      <c r="E555" s="142"/>
      <c r="F555" s="142"/>
      <c r="G555" s="159">
        <v>126000</v>
      </c>
      <c r="H555" s="93">
        <f t="shared" si="19"/>
        <v>0.0035570108811503577</v>
      </c>
    </row>
    <row r="556" spans="1:8" ht="12.75" customHeight="1">
      <c r="A556" s="251"/>
      <c r="B556" s="10">
        <v>4230</v>
      </c>
      <c r="C556" s="11" t="s">
        <v>89</v>
      </c>
      <c r="D556" s="158">
        <v>200</v>
      </c>
      <c r="E556" s="142"/>
      <c r="F556" s="142"/>
      <c r="G556" s="159">
        <v>200</v>
      </c>
      <c r="H556" s="93">
        <f t="shared" si="19"/>
        <v>5.64604901769898E-06</v>
      </c>
    </row>
    <row r="557" spans="1:8" ht="12.75" customHeight="1">
      <c r="A557" s="251"/>
      <c r="B557" s="10">
        <v>4240</v>
      </c>
      <c r="C557" s="11" t="s">
        <v>97</v>
      </c>
      <c r="D557" s="158">
        <v>0</v>
      </c>
      <c r="E557" s="142"/>
      <c r="F557" s="142"/>
      <c r="G557" s="159">
        <v>300</v>
      </c>
      <c r="H557" s="93">
        <f t="shared" si="19"/>
        <v>8.46907352654847E-06</v>
      </c>
    </row>
    <row r="558" spans="1:8" ht="12.75" customHeight="1">
      <c r="A558" s="251"/>
      <c r="B558" s="10">
        <v>4260</v>
      </c>
      <c r="C558" s="11" t="s">
        <v>126</v>
      </c>
      <c r="D558" s="158">
        <v>43700</v>
      </c>
      <c r="E558" s="142"/>
      <c r="F558" s="142"/>
      <c r="G558" s="159">
        <v>36200</v>
      </c>
      <c r="H558" s="93">
        <f t="shared" si="19"/>
        <v>0.0010219348722035155</v>
      </c>
    </row>
    <row r="559" spans="1:8" ht="12.75" customHeight="1">
      <c r="A559" s="251"/>
      <c r="B559" s="10">
        <v>4270</v>
      </c>
      <c r="C559" s="11" t="s">
        <v>127</v>
      </c>
      <c r="D559" s="158">
        <v>31700</v>
      </c>
      <c r="E559" s="142"/>
      <c r="F559" s="142"/>
      <c r="G559" s="159">
        <v>6800</v>
      </c>
      <c r="H559" s="93">
        <f t="shared" si="19"/>
        <v>0.00019196566660176535</v>
      </c>
    </row>
    <row r="560" spans="1:8" ht="12.75" customHeight="1">
      <c r="A560" s="251"/>
      <c r="B560" s="10">
        <v>4280</v>
      </c>
      <c r="C560" s="11" t="s">
        <v>99</v>
      </c>
      <c r="D560" s="158">
        <v>200</v>
      </c>
      <c r="E560" s="142"/>
      <c r="F560" s="142"/>
      <c r="G560" s="159">
        <v>150</v>
      </c>
      <c r="H560" s="93">
        <f t="shared" si="19"/>
        <v>4.234536763274235E-06</v>
      </c>
    </row>
    <row r="561" spans="1:8" ht="12.75" customHeight="1">
      <c r="A561" s="251"/>
      <c r="B561" s="10">
        <v>4300</v>
      </c>
      <c r="C561" s="11" t="s">
        <v>60</v>
      </c>
      <c r="D561" s="158">
        <v>11300</v>
      </c>
      <c r="E561" s="142"/>
      <c r="F561" s="142"/>
      <c r="G561" s="159">
        <v>10900</v>
      </c>
      <c r="H561" s="93">
        <f t="shared" si="19"/>
        <v>0.0003077096714645944</v>
      </c>
    </row>
    <row r="562" spans="1:8" ht="24">
      <c r="A562" s="251"/>
      <c r="B562" s="10">
        <v>4350</v>
      </c>
      <c r="C562" s="11" t="s">
        <v>255</v>
      </c>
      <c r="D562" s="158">
        <v>900</v>
      </c>
      <c r="E562" s="142"/>
      <c r="F562" s="142"/>
      <c r="G562" s="159">
        <v>1220</v>
      </c>
      <c r="H562" s="93">
        <f t="shared" si="19"/>
        <v>3.444089900796378E-05</v>
      </c>
    </row>
    <row r="563" spans="1:8" ht="36">
      <c r="A563" s="251"/>
      <c r="B563" s="10">
        <v>4370</v>
      </c>
      <c r="C563" s="11" t="s">
        <v>311</v>
      </c>
      <c r="D563" s="158">
        <v>1000</v>
      </c>
      <c r="E563" s="142"/>
      <c r="F563" s="142"/>
      <c r="G563" s="159">
        <v>2300</v>
      </c>
      <c r="H563" s="93">
        <f t="shared" si="19"/>
        <v>6.492956370353828E-05</v>
      </c>
    </row>
    <row r="564" spans="1:8" ht="12.75" customHeight="1">
      <c r="A564" s="251"/>
      <c r="B564" s="10">
        <v>4410</v>
      </c>
      <c r="C564" s="11" t="s">
        <v>308</v>
      </c>
      <c r="D564" s="158">
        <v>219</v>
      </c>
      <c r="E564" s="142"/>
      <c r="F564" s="142"/>
      <c r="G564" s="159">
        <v>200</v>
      </c>
      <c r="H564" s="93">
        <f t="shared" si="19"/>
        <v>5.64604901769898E-06</v>
      </c>
    </row>
    <row r="565" spans="1:8" ht="13.5" customHeight="1">
      <c r="A565" s="251"/>
      <c r="B565" s="45">
        <v>4440</v>
      </c>
      <c r="C565" s="46" t="s">
        <v>69</v>
      </c>
      <c r="D565" s="136">
        <v>19000</v>
      </c>
      <c r="E565" s="137"/>
      <c r="F565" s="137"/>
      <c r="G565" s="138">
        <v>16130</v>
      </c>
      <c r="H565" s="93">
        <f t="shared" si="19"/>
        <v>0.00045535385327742276</v>
      </c>
    </row>
    <row r="566" spans="1:8" ht="36">
      <c r="A566" s="251"/>
      <c r="B566" s="10">
        <v>4740</v>
      </c>
      <c r="C566" s="11" t="s">
        <v>246</v>
      </c>
      <c r="D566" s="158">
        <v>100</v>
      </c>
      <c r="E566" s="142"/>
      <c r="F566" s="142"/>
      <c r="G566" s="159">
        <v>300</v>
      </c>
      <c r="H566" s="93">
        <f t="shared" si="19"/>
        <v>8.46907352654847E-06</v>
      </c>
    </row>
    <row r="567" spans="1:8" ht="36.75" thickBot="1">
      <c r="A567" s="252"/>
      <c r="B567" s="79">
        <v>4750</v>
      </c>
      <c r="C567" s="80" t="s">
        <v>310</v>
      </c>
      <c r="D567" s="172">
        <v>0</v>
      </c>
      <c r="E567" s="173"/>
      <c r="F567" s="173"/>
      <c r="G567" s="174">
        <v>600</v>
      </c>
      <c r="H567" s="93">
        <f t="shared" si="19"/>
        <v>1.693814705309694E-05</v>
      </c>
    </row>
    <row r="568" spans="1:9" ht="15" thickBot="1" thickTop="1">
      <c r="A568" s="228" t="s">
        <v>43</v>
      </c>
      <c r="B568" s="229"/>
      <c r="C568" s="229"/>
      <c r="D568" s="139">
        <f>SUM(D550:D567)</f>
        <v>803426</v>
      </c>
      <c r="E568" s="139">
        <f>SUM(E550:E565)</f>
        <v>0</v>
      </c>
      <c r="F568" s="139">
        <f>SUM(F550:F565)</f>
        <v>0</v>
      </c>
      <c r="G568" s="140">
        <f>SUM(G550:G567)</f>
        <v>656650</v>
      </c>
      <c r="H568" s="91">
        <f>G568/G623</f>
        <v>0.018537390437360177</v>
      </c>
      <c r="I568" t="s">
        <v>236</v>
      </c>
    </row>
    <row r="569" spans="1:8" ht="15" customHeight="1" thickTop="1">
      <c r="A569" s="270">
        <v>85415</v>
      </c>
      <c r="B569" s="235" t="s">
        <v>57</v>
      </c>
      <c r="C569" s="236"/>
      <c r="D569" s="236"/>
      <c r="E569" s="236"/>
      <c r="F569" s="236"/>
      <c r="G569" s="236"/>
      <c r="H569" s="237"/>
    </row>
    <row r="570" spans="1:8" ht="26.25" customHeight="1">
      <c r="A570" s="232"/>
      <c r="B570" s="40" t="s">
        <v>111</v>
      </c>
      <c r="C570" s="11" t="s">
        <v>261</v>
      </c>
      <c r="D570" s="158">
        <v>69600</v>
      </c>
      <c r="E570" s="142"/>
      <c r="F570" s="142"/>
      <c r="G570" s="159">
        <v>24000</v>
      </c>
      <c r="H570" s="93">
        <f>G570/$G$623</f>
        <v>0.0006775258821238776</v>
      </c>
    </row>
    <row r="571" spans="1:8" ht="12.75">
      <c r="A571" s="232"/>
      <c r="B571" s="40" t="s">
        <v>212</v>
      </c>
      <c r="C571" s="11" t="s">
        <v>261</v>
      </c>
      <c r="D571" s="158">
        <v>88790</v>
      </c>
      <c r="E571" s="142"/>
      <c r="F571" s="142"/>
      <c r="G571" s="159">
        <v>0</v>
      </c>
      <c r="H571" s="93">
        <f aca="true" t="shared" si="20" ref="H571:H580">G571/$G$623</f>
        <v>0</v>
      </c>
    </row>
    <row r="572" spans="1:8" ht="12.75">
      <c r="A572" s="232"/>
      <c r="B572" s="40" t="s">
        <v>190</v>
      </c>
      <c r="C572" s="11" t="s">
        <v>261</v>
      </c>
      <c r="D572" s="158">
        <v>41687</v>
      </c>
      <c r="E572" s="142"/>
      <c r="F572" s="142"/>
      <c r="G572" s="159">
        <v>0</v>
      </c>
      <c r="H572" s="93">
        <f t="shared" si="20"/>
        <v>0</v>
      </c>
    </row>
    <row r="573" spans="1:8" ht="17.25" customHeight="1">
      <c r="A573" s="232"/>
      <c r="B573" s="40" t="s">
        <v>213</v>
      </c>
      <c r="C573" s="11" t="s">
        <v>81</v>
      </c>
      <c r="D573" s="158">
        <v>720</v>
      </c>
      <c r="E573" s="142"/>
      <c r="F573" s="142"/>
      <c r="G573" s="159">
        <v>0</v>
      </c>
      <c r="H573" s="93">
        <f t="shared" si="20"/>
        <v>0</v>
      </c>
    </row>
    <row r="574" spans="1:8" ht="15" customHeight="1">
      <c r="A574" s="232"/>
      <c r="B574" s="49">
        <v>4119</v>
      </c>
      <c r="C574" s="11" t="s">
        <v>81</v>
      </c>
      <c r="D574" s="208">
        <v>338</v>
      </c>
      <c r="E574" s="208"/>
      <c r="F574" s="208"/>
      <c r="G574" s="159">
        <v>0</v>
      </c>
      <c r="H574" s="93">
        <f t="shared" si="20"/>
        <v>0</v>
      </c>
    </row>
    <row r="575" spans="1:8" ht="12.75">
      <c r="A575" s="232"/>
      <c r="B575" s="49">
        <v>4128</v>
      </c>
      <c r="C575" s="11" t="s">
        <v>80</v>
      </c>
      <c r="D575" s="208">
        <v>102</v>
      </c>
      <c r="E575" s="208"/>
      <c r="F575" s="208"/>
      <c r="G575" s="159">
        <v>0</v>
      </c>
      <c r="H575" s="93">
        <f t="shared" si="20"/>
        <v>0</v>
      </c>
    </row>
    <row r="576" spans="1:8" ht="15" customHeight="1">
      <c r="A576" s="232"/>
      <c r="B576" s="49">
        <v>4129</v>
      </c>
      <c r="C576" s="11" t="s">
        <v>80</v>
      </c>
      <c r="D576" s="208">
        <v>48</v>
      </c>
      <c r="E576" s="208"/>
      <c r="F576" s="208"/>
      <c r="G576" s="159">
        <v>0</v>
      </c>
      <c r="H576" s="93">
        <f t="shared" si="20"/>
        <v>0</v>
      </c>
    </row>
    <row r="577" spans="1:8" ht="12.75">
      <c r="A577" s="232"/>
      <c r="B577" s="49">
        <v>4178</v>
      </c>
      <c r="C577" s="226" t="s">
        <v>192</v>
      </c>
      <c r="D577" s="208">
        <v>4168</v>
      </c>
      <c r="E577" s="208"/>
      <c r="F577" s="208"/>
      <c r="G577" s="159">
        <v>0</v>
      </c>
      <c r="H577" s="93">
        <f t="shared" si="20"/>
        <v>0</v>
      </c>
    </row>
    <row r="578" spans="1:8" ht="12.75">
      <c r="A578" s="232"/>
      <c r="B578" s="49">
        <v>4179</v>
      </c>
      <c r="C578" s="226" t="s">
        <v>192</v>
      </c>
      <c r="D578" s="208">
        <v>1957</v>
      </c>
      <c r="E578" s="208"/>
      <c r="F578" s="208"/>
      <c r="G578" s="159">
        <v>0</v>
      </c>
      <c r="H578" s="93">
        <f t="shared" si="20"/>
        <v>0</v>
      </c>
    </row>
    <row r="579" spans="1:8" ht="12.75">
      <c r="A579" s="232"/>
      <c r="B579" s="77">
        <v>4218</v>
      </c>
      <c r="C579" s="11" t="s">
        <v>64</v>
      </c>
      <c r="D579" s="208">
        <v>2858</v>
      </c>
      <c r="E579" s="208"/>
      <c r="F579" s="208"/>
      <c r="G579" s="159">
        <v>0</v>
      </c>
      <c r="H579" s="93">
        <f t="shared" si="20"/>
        <v>0</v>
      </c>
    </row>
    <row r="580" spans="1:8" ht="13.5" thickBot="1">
      <c r="A580" s="232"/>
      <c r="B580" s="77">
        <v>4219</v>
      </c>
      <c r="C580" s="11" t="s">
        <v>64</v>
      </c>
      <c r="D580" s="208">
        <v>1342</v>
      </c>
      <c r="E580" s="208"/>
      <c r="F580" s="208"/>
      <c r="G580" s="159">
        <v>0</v>
      </c>
      <c r="H580" s="93">
        <f t="shared" si="20"/>
        <v>0</v>
      </c>
    </row>
    <row r="581" spans="1:9" ht="15" thickBot="1" thickTop="1">
      <c r="A581" s="228" t="s">
        <v>58</v>
      </c>
      <c r="B581" s="229"/>
      <c r="C581" s="229"/>
      <c r="D581" s="139">
        <f>SUM(D570:D580)</f>
        <v>211610</v>
      </c>
      <c r="E581" s="139">
        <f>SUM(E570:E580)</f>
        <v>0</v>
      </c>
      <c r="F581" s="139">
        <f>SUM(F570:F580)</f>
        <v>0</v>
      </c>
      <c r="G581" s="139">
        <f>SUM(G570:G580)</f>
        <v>24000</v>
      </c>
      <c r="H581" s="91">
        <f>G581/G623</f>
        <v>0.0006775258821238776</v>
      </c>
      <c r="I581" t="s">
        <v>236</v>
      </c>
    </row>
    <row r="582" spans="1:8" ht="14.25" thickTop="1">
      <c r="A582" s="253">
        <v>85417</v>
      </c>
      <c r="B582" s="235" t="s">
        <v>15</v>
      </c>
      <c r="C582" s="236"/>
      <c r="D582" s="236"/>
      <c r="E582" s="236"/>
      <c r="F582" s="236"/>
      <c r="G582" s="236"/>
      <c r="H582" s="237"/>
    </row>
    <row r="583" spans="1:8" ht="24">
      <c r="A583" s="232"/>
      <c r="B583" s="10">
        <v>4010</v>
      </c>
      <c r="C583" s="11" t="s">
        <v>295</v>
      </c>
      <c r="D583" s="158">
        <v>1751</v>
      </c>
      <c r="E583" s="142"/>
      <c r="F583" s="142"/>
      <c r="G583" s="159">
        <v>2200</v>
      </c>
      <c r="H583" s="93">
        <f>G583/$G$623</f>
        <v>6.210653919468878E-05</v>
      </c>
    </row>
    <row r="584" spans="1:8" ht="16.5" customHeight="1">
      <c r="A584" s="232"/>
      <c r="B584" s="10">
        <v>4110</v>
      </c>
      <c r="C584" s="11" t="s">
        <v>81</v>
      </c>
      <c r="D584" s="158">
        <v>302</v>
      </c>
      <c r="E584" s="142"/>
      <c r="F584" s="142"/>
      <c r="G584" s="159">
        <v>330</v>
      </c>
      <c r="H584" s="93">
        <f>G584/$G$623</f>
        <v>9.315980879203318E-06</v>
      </c>
    </row>
    <row r="585" spans="1:8" ht="12.75">
      <c r="A585" s="232"/>
      <c r="B585" s="10">
        <v>4120</v>
      </c>
      <c r="C585" s="11" t="s">
        <v>80</v>
      </c>
      <c r="D585" s="158">
        <v>43</v>
      </c>
      <c r="E585" s="142"/>
      <c r="F585" s="142"/>
      <c r="G585" s="159">
        <v>60</v>
      </c>
      <c r="H585" s="93">
        <f>G585/$G$623</f>
        <v>1.6938147053096942E-06</v>
      </c>
    </row>
    <row r="586" spans="1:8" ht="12.75">
      <c r="A586" s="232"/>
      <c r="B586" s="10">
        <v>4210</v>
      </c>
      <c r="C586" s="11" t="s">
        <v>64</v>
      </c>
      <c r="D586" s="158">
        <v>444</v>
      </c>
      <c r="E586" s="142"/>
      <c r="F586" s="142"/>
      <c r="G586" s="159">
        <v>410</v>
      </c>
      <c r="H586" s="93">
        <f>G586/$G$623</f>
        <v>1.157440048628291E-05</v>
      </c>
    </row>
    <row r="587" spans="1:8" ht="12.75">
      <c r="A587" s="232"/>
      <c r="B587" s="10">
        <v>4260</v>
      </c>
      <c r="C587" s="11" t="s">
        <v>65</v>
      </c>
      <c r="D587" s="158">
        <v>560</v>
      </c>
      <c r="E587" s="142"/>
      <c r="F587" s="142"/>
      <c r="G587" s="159">
        <v>400</v>
      </c>
      <c r="H587" s="93">
        <f>G587/$G$623</f>
        <v>1.129209803539796E-05</v>
      </c>
    </row>
    <row r="588" spans="1:8" ht="13.5" thickBot="1">
      <c r="A588" s="254"/>
      <c r="B588" s="45">
        <v>4300</v>
      </c>
      <c r="C588" s="46" t="s">
        <v>79</v>
      </c>
      <c r="D588" s="136">
        <v>400</v>
      </c>
      <c r="E588" s="137"/>
      <c r="F588" s="137"/>
      <c r="G588" s="138">
        <v>400</v>
      </c>
      <c r="H588" s="93">
        <f>G588/$G$623</f>
        <v>1.129209803539796E-05</v>
      </c>
    </row>
    <row r="589" spans="1:9" ht="15" thickBot="1" thickTop="1">
      <c r="A589" s="228" t="s">
        <v>44</v>
      </c>
      <c r="B589" s="229"/>
      <c r="C589" s="229"/>
      <c r="D589" s="139">
        <f>SUM(D583:D588)</f>
        <v>3500</v>
      </c>
      <c r="E589" s="139">
        <f>SUM(E583:E588)</f>
        <v>0</v>
      </c>
      <c r="F589" s="139">
        <f>SUM(F583:F588)</f>
        <v>0</v>
      </c>
      <c r="G589" s="139">
        <f>SUM(G583:G588)</f>
        <v>3800</v>
      </c>
      <c r="H589" s="91">
        <f>G589/G623</f>
        <v>0.00010727493133628063</v>
      </c>
      <c r="I589" t="s">
        <v>236</v>
      </c>
    </row>
    <row r="590" spans="1:8" ht="14.25" thickTop="1">
      <c r="A590" s="253">
        <v>85446</v>
      </c>
      <c r="B590" s="235" t="s">
        <v>142</v>
      </c>
      <c r="C590" s="236"/>
      <c r="D590" s="236"/>
      <c r="E590" s="236"/>
      <c r="F590" s="236"/>
      <c r="G590" s="236"/>
      <c r="H590" s="237"/>
    </row>
    <row r="591" spans="1:8" ht="13.5" thickBot="1">
      <c r="A591" s="251"/>
      <c r="B591" s="45">
        <v>4300</v>
      </c>
      <c r="C591" s="46" t="s">
        <v>79</v>
      </c>
      <c r="D591" s="136">
        <v>1100</v>
      </c>
      <c r="E591" s="137"/>
      <c r="F591" s="137"/>
      <c r="G591" s="138">
        <v>1800</v>
      </c>
      <c r="H591" s="93">
        <f>G591/G623</f>
        <v>5.0814441159290825E-05</v>
      </c>
    </row>
    <row r="592" spans="1:9" ht="15" thickBot="1" thickTop="1">
      <c r="A592" s="228" t="s">
        <v>182</v>
      </c>
      <c r="B592" s="229"/>
      <c r="C592" s="229"/>
      <c r="D592" s="139">
        <f>SUM(D591:D591)</f>
        <v>1100</v>
      </c>
      <c r="E592" s="139">
        <f>SUM(E591:E591)</f>
        <v>0</v>
      </c>
      <c r="F592" s="139">
        <f>SUM(F591:F591)</f>
        <v>0</v>
      </c>
      <c r="G592" s="140">
        <f>SUM(G591:G591)</f>
        <v>1800</v>
      </c>
      <c r="H592" s="91">
        <f>G592/G623</f>
        <v>5.0814441159290825E-05</v>
      </c>
      <c r="I592" t="s">
        <v>236</v>
      </c>
    </row>
    <row r="593" spans="1:8" ht="15" customHeight="1" thickTop="1">
      <c r="A593" s="253">
        <v>85495</v>
      </c>
      <c r="B593" s="235" t="s">
        <v>56</v>
      </c>
      <c r="C593" s="236"/>
      <c r="D593" s="236"/>
      <c r="E593" s="236"/>
      <c r="F593" s="236"/>
      <c r="G593" s="236"/>
      <c r="H593" s="237"/>
    </row>
    <row r="594" spans="1:8" ht="13.5" thickBot="1">
      <c r="A594" s="254"/>
      <c r="B594" s="45">
        <v>4440</v>
      </c>
      <c r="C594" s="46" t="s">
        <v>69</v>
      </c>
      <c r="D594" s="136">
        <v>1980</v>
      </c>
      <c r="E594" s="137"/>
      <c r="F594" s="137"/>
      <c r="G594" s="138">
        <v>1490</v>
      </c>
      <c r="H594" s="95">
        <f>G594/G623</f>
        <v>4.20630651818574E-05</v>
      </c>
    </row>
    <row r="595" spans="1:9" ht="15" thickBot="1" thickTop="1">
      <c r="A595" s="228" t="s">
        <v>183</v>
      </c>
      <c r="B595" s="229"/>
      <c r="C595" s="229"/>
      <c r="D595" s="139">
        <f>SUM(D594:D594)</f>
        <v>1980</v>
      </c>
      <c r="E595" s="133">
        <f>SUM(E594:E594)</f>
        <v>0</v>
      </c>
      <c r="F595" s="133">
        <f>SUM(F594:F594)</f>
        <v>0</v>
      </c>
      <c r="G595" s="160">
        <f>SUM(G594:G594)</f>
        <v>1490</v>
      </c>
      <c r="H595" s="91">
        <f>G595/G623</f>
        <v>4.20630651818574E-05</v>
      </c>
      <c r="I595" t="s">
        <v>236</v>
      </c>
    </row>
    <row r="596" spans="1:8" ht="16.5" thickBot="1" thickTop="1">
      <c r="A596" s="230" t="s">
        <v>45</v>
      </c>
      <c r="B596" s="231"/>
      <c r="C596" s="231"/>
      <c r="D596" s="135">
        <f>D548+D568+D581+D589+D592+D595</f>
        <v>1552316</v>
      </c>
      <c r="E596" s="135">
        <f>E548+E568+E581+E589+E592+E595</f>
        <v>0</v>
      </c>
      <c r="F596" s="135">
        <f>F548+F568+F581+F589+F592+F595</f>
        <v>0</v>
      </c>
      <c r="G596" s="146">
        <f>G548+G568+G581+G589+G592+G595</f>
        <v>1307740</v>
      </c>
      <c r="H596" s="92">
        <f>G596/G623</f>
        <v>0.03691782071202832</v>
      </c>
    </row>
    <row r="597" spans="1:8" ht="21.75" customHeight="1" thickBot="1" thickTop="1">
      <c r="A597" s="244" t="s">
        <v>113</v>
      </c>
      <c r="B597" s="245"/>
      <c r="C597" s="245"/>
      <c r="D597" s="245"/>
      <c r="E597" s="245"/>
      <c r="F597" s="245"/>
      <c r="G597" s="245"/>
      <c r="H597" s="246"/>
    </row>
    <row r="598" spans="1:8" ht="14.25" thickTop="1">
      <c r="A598" s="253">
        <v>92116</v>
      </c>
      <c r="B598" s="235" t="s">
        <v>144</v>
      </c>
      <c r="C598" s="236"/>
      <c r="D598" s="236"/>
      <c r="E598" s="236"/>
      <c r="F598" s="236"/>
      <c r="G598" s="236"/>
      <c r="H598" s="237"/>
    </row>
    <row r="599" spans="1:8" ht="48">
      <c r="A599" s="251"/>
      <c r="B599" s="45">
        <v>2310</v>
      </c>
      <c r="C599" s="11" t="s">
        <v>262</v>
      </c>
      <c r="D599" s="136">
        <v>13165</v>
      </c>
      <c r="E599" s="137"/>
      <c r="F599" s="137"/>
      <c r="G599" s="318">
        <v>15000</v>
      </c>
      <c r="H599" s="101">
        <f>G599/$G$623</f>
        <v>0.00042345367632742355</v>
      </c>
    </row>
    <row r="600" spans="1:8" ht="13.5" thickBot="1">
      <c r="A600" s="254"/>
      <c r="B600" s="45">
        <v>4240</v>
      </c>
      <c r="C600" s="46" t="s">
        <v>97</v>
      </c>
      <c r="D600" s="136">
        <v>1835</v>
      </c>
      <c r="E600" s="137"/>
      <c r="F600" s="137"/>
      <c r="G600" s="138">
        <v>0</v>
      </c>
      <c r="H600" s="101">
        <f>G600/$G$623</f>
        <v>0</v>
      </c>
    </row>
    <row r="601" spans="1:8" ht="15" thickBot="1" thickTop="1">
      <c r="A601" s="228" t="s">
        <v>145</v>
      </c>
      <c r="B601" s="229"/>
      <c r="C601" s="229"/>
      <c r="D601" s="139">
        <f>SUM(D599:D600)</f>
        <v>15000</v>
      </c>
      <c r="E601" s="139">
        <f>SUM(E600:E600)</f>
        <v>0</v>
      </c>
      <c r="F601" s="139">
        <f>SUM(F600:F600)</f>
        <v>0</v>
      </c>
      <c r="G601" s="140">
        <f>SUM(G599:G600)</f>
        <v>15000</v>
      </c>
      <c r="H601" s="91">
        <f>G601/G623</f>
        <v>0.00042345367632742355</v>
      </c>
    </row>
    <row r="602" spans="1:8" ht="14.25" thickTop="1">
      <c r="A602" s="253">
        <v>92120</v>
      </c>
      <c r="B602" s="235" t="s">
        <v>239</v>
      </c>
      <c r="C602" s="236"/>
      <c r="D602" s="236"/>
      <c r="E602" s="236"/>
      <c r="F602" s="236"/>
      <c r="G602" s="236"/>
      <c r="H602" s="237"/>
    </row>
    <row r="603" spans="1:8" ht="48.75" thickBot="1">
      <c r="A603" s="253"/>
      <c r="B603" s="10">
        <v>2820</v>
      </c>
      <c r="C603" s="11" t="s">
        <v>262</v>
      </c>
      <c r="D603" s="158">
        <v>8000</v>
      </c>
      <c r="E603" s="142"/>
      <c r="F603" s="142"/>
      <c r="G603" s="157">
        <v>3000</v>
      </c>
      <c r="H603" s="101">
        <f>G603/G623</f>
        <v>8.46907352654847E-05</v>
      </c>
    </row>
    <row r="604" spans="1:8" ht="15" thickBot="1" thickTop="1">
      <c r="A604" s="228" t="s">
        <v>240</v>
      </c>
      <c r="B604" s="229"/>
      <c r="C604" s="229"/>
      <c r="D604" s="139">
        <f>SUM(D603:D603)</f>
        <v>8000</v>
      </c>
      <c r="E604" s="139">
        <f>SUM(E603:E603)</f>
        <v>0</v>
      </c>
      <c r="F604" s="139">
        <f>SUM(F603:F603)</f>
        <v>0</v>
      </c>
      <c r="G604" s="139">
        <f>SUM(G603:G603)</f>
        <v>3000</v>
      </c>
      <c r="H604" s="91">
        <f>G604/G623</f>
        <v>8.46907352654847E-05</v>
      </c>
    </row>
    <row r="605" spans="1:8" ht="15" customHeight="1" thickTop="1">
      <c r="A605" s="253">
        <v>92195</v>
      </c>
      <c r="B605" s="235" t="s">
        <v>56</v>
      </c>
      <c r="C605" s="236"/>
      <c r="D605" s="236"/>
      <c r="E605" s="236"/>
      <c r="F605" s="236"/>
      <c r="G605" s="236"/>
      <c r="H605" s="237"/>
    </row>
    <row r="606" spans="1:8" ht="12.75">
      <c r="A606" s="232"/>
      <c r="B606" s="10">
        <v>4210</v>
      </c>
      <c r="C606" s="11" t="s">
        <v>64</v>
      </c>
      <c r="D606" s="158">
        <v>8000</v>
      </c>
      <c r="E606" s="142"/>
      <c r="F606" s="142"/>
      <c r="G606" s="159">
        <v>7000</v>
      </c>
      <c r="H606" s="101">
        <f>G606/G623</f>
        <v>0.0001976117156194643</v>
      </c>
    </row>
    <row r="607" spans="1:8" ht="13.5" thickBot="1">
      <c r="A607" s="254"/>
      <c r="B607" s="45">
        <v>4300</v>
      </c>
      <c r="C607" s="46" t="s">
        <v>79</v>
      </c>
      <c r="D607" s="136">
        <v>3000</v>
      </c>
      <c r="E607" s="137"/>
      <c r="F607" s="137"/>
      <c r="G607" s="138">
        <v>3000</v>
      </c>
      <c r="H607" s="99">
        <f>G607/G623</f>
        <v>8.46907352654847E-05</v>
      </c>
    </row>
    <row r="608" spans="1:8" ht="15" thickBot="1" thickTop="1">
      <c r="A608" s="228" t="s">
        <v>114</v>
      </c>
      <c r="B608" s="229"/>
      <c r="C608" s="229"/>
      <c r="D608" s="139">
        <f>SUM(D606:D607)</f>
        <v>11000</v>
      </c>
      <c r="E608" s="139">
        <f>SUM(E606:E607)</f>
        <v>0</v>
      </c>
      <c r="F608" s="139">
        <f>SUM(F606:F607)</f>
        <v>0</v>
      </c>
      <c r="G608" s="139">
        <f>SUM(G606:G607)</f>
        <v>10000</v>
      </c>
      <c r="H608" s="91">
        <f>G608/G623</f>
        <v>0.000282302450884949</v>
      </c>
    </row>
    <row r="609" spans="1:8" ht="16.5" thickBot="1" thickTop="1">
      <c r="A609" s="230" t="s">
        <v>115</v>
      </c>
      <c r="B609" s="231"/>
      <c r="C609" s="231"/>
      <c r="D609" s="135">
        <f>SUM(D601+D608+D604)</f>
        <v>34000</v>
      </c>
      <c r="E609" s="135">
        <f>SUM(E601+E608+E604)</f>
        <v>0</v>
      </c>
      <c r="F609" s="135">
        <f>SUM(F601+F608+F604)</f>
        <v>0</v>
      </c>
      <c r="G609" s="135">
        <f>SUM(G601+G608+G604)</f>
        <v>28000</v>
      </c>
      <c r="H609" s="92">
        <f>G609/G623</f>
        <v>0.0007904468624778572</v>
      </c>
    </row>
    <row r="610" spans="1:8" ht="21.75" customHeight="1" thickBot="1" thickTop="1">
      <c r="A610" s="244" t="s">
        <v>119</v>
      </c>
      <c r="B610" s="245"/>
      <c r="C610" s="245"/>
      <c r="D610" s="245"/>
      <c r="E610" s="245"/>
      <c r="F610" s="245"/>
      <c r="G610" s="245"/>
      <c r="H610" s="246"/>
    </row>
    <row r="611" spans="1:8" ht="21.75" customHeight="1" thickTop="1">
      <c r="A611" s="250">
        <v>92605</v>
      </c>
      <c r="B611" s="235" t="s">
        <v>228</v>
      </c>
      <c r="C611" s="236"/>
      <c r="D611" s="236"/>
      <c r="E611" s="236"/>
      <c r="F611" s="236"/>
      <c r="G611" s="236"/>
      <c r="H611" s="237"/>
    </row>
    <row r="612" spans="1:8" ht="48.75" customHeight="1">
      <c r="A612" s="251"/>
      <c r="B612" s="10">
        <v>2820</v>
      </c>
      <c r="C612" s="11" t="s">
        <v>262</v>
      </c>
      <c r="D612" s="158">
        <v>1000</v>
      </c>
      <c r="E612" s="142"/>
      <c r="F612" s="142"/>
      <c r="G612" s="159">
        <v>1000</v>
      </c>
      <c r="H612" s="93">
        <f>G612/G623</f>
        <v>2.82302450884949E-05</v>
      </c>
    </row>
    <row r="613" spans="1:8" ht="13.5" thickBot="1">
      <c r="A613" s="252"/>
      <c r="B613" s="79">
        <v>4300</v>
      </c>
      <c r="C613" s="80" t="s">
        <v>79</v>
      </c>
      <c r="D613" s="172">
        <v>4000</v>
      </c>
      <c r="E613" s="173"/>
      <c r="F613" s="173"/>
      <c r="G613" s="174">
        <v>10000</v>
      </c>
      <c r="H613" s="114">
        <f>G613/G623</f>
        <v>0.000282302450884949</v>
      </c>
    </row>
    <row r="614" spans="1:8" ht="21.75" customHeight="1" thickBot="1" thickTop="1">
      <c r="A614" s="228" t="s">
        <v>229</v>
      </c>
      <c r="B614" s="229"/>
      <c r="C614" s="229"/>
      <c r="D614" s="139">
        <f>SUM(D612:D613)</f>
        <v>5000</v>
      </c>
      <c r="E614" s="139">
        <f>SUM(E612:E613)</f>
        <v>0</v>
      </c>
      <c r="F614" s="139">
        <f>SUM(F612:F613)</f>
        <v>0</v>
      </c>
      <c r="G614" s="139">
        <f>SUM(G612:G613)</f>
        <v>11000</v>
      </c>
      <c r="H614" s="91">
        <f>G614/G623</f>
        <v>0.00031053269597344394</v>
      </c>
    </row>
    <row r="615" spans="1:8" ht="15" customHeight="1" thickTop="1">
      <c r="A615" s="253">
        <v>92695</v>
      </c>
      <c r="B615" s="235" t="s">
        <v>56</v>
      </c>
      <c r="C615" s="236"/>
      <c r="D615" s="236"/>
      <c r="E615" s="236"/>
      <c r="F615" s="236"/>
      <c r="G615" s="236"/>
      <c r="H615" s="237"/>
    </row>
    <row r="616" spans="1:8" ht="12.75">
      <c r="A616" s="232"/>
      <c r="B616" s="10">
        <v>4170</v>
      </c>
      <c r="C616" s="11" t="s">
        <v>196</v>
      </c>
      <c r="D616" s="158">
        <v>4000</v>
      </c>
      <c r="E616" s="142"/>
      <c r="F616" s="142"/>
      <c r="G616" s="159">
        <v>4000</v>
      </c>
      <c r="H616" s="93">
        <f>G616/$G$623</f>
        <v>0.0001129209803539796</v>
      </c>
    </row>
    <row r="617" spans="1:8" ht="12.75">
      <c r="A617" s="232"/>
      <c r="B617" s="10">
        <v>4210</v>
      </c>
      <c r="C617" s="11" t="s">
        <v>64</v>
      </c>
      <c r="D617" s="158">
        <v>8900</v>
      </c>
      <c r="E617" s="142"/>
      <c r="F617" s="142"/>
      <c r="G617" s="159">
        <v>9000</v>
      </c>
      <c r="H617" s="93">
        <f>G617/$G$623</f>
        <v>0.00025407220579645414</v>
      </c>
    </row>
    <row r="618" spans="1:8" ht="12.75">
      <c r="A618" s="232"/>
      <c r="B618" s="10">
        <v>4300</v>
      </c>
      <c r="C618" s="11" t="s">
        <v>79</v>
      </c>
      <c r="D618" s="158">
        <v>9100</v>
      </c>
      <c r="E618" s="142"/>
      <c r="F618" s="142"/>
      <c r="G618" s="159">
        <v>9000</v>
      </c>
      <c r="H618" s="93">
        <f>G618/$G$623</f>
        <v>0.00025407220579645414</v>
      </c>
    </row>
    <row r="619" spans="1:8" ht="12.75">
      <c r="A619" s="232"/>
      <c r="B619" s="10">
        <v>4410</v>
      </c>
      <c r="C619" s="11" t="s">
        <v>121</v>
      </c>
      <c r="D619" s="158">
        <v>1800</v>
      </c>
      <c r="E619" s="142"/>
      <c r="F619" s="142"/>
      <c r="G619" s="159">
        <v>1800</v>
      </c>
      <c r="H619" s="93">
        <f>G619/$G$623</f>
        <v>5.0814441159290825E-05</v>
      </c>
    </row>
    <row r="620" spans="1:8" ht="13.5" thickBot="1">
      <c r="A620" s="254"/>
      <c r="B620" s="45">
        <v>4430</v>
      </c>
      <c r="C620" s="46" t="s">
        <v>78</v>
      </c>
      <c r="D620" s="136">
        <v>200</v>
      </c>
      <c r="E620" s="137"/>
      <c r="F620" s="137"/>
      <c r="G620" s="138">
        <v>200</v>
      </c>
      <c r="H620" s="93">
        <f>G620/$G$623</f>
        <v>5.64604901769898E-06</v>
      </c>
    </row>
    <row r="621" spans="1:8" ht="15" thickBot="1" thickTop="1">
      <c r="A621" s="228" t="s">
        <v>117</v>
      </c>
      <c r="B621" s="229"/>
      <c r="C621" s="229"/>
      <c r="D621" s="139">
        <f>SUM(D616:D620)</f>
        <v>24000</v>
      </c>
      <c r="E621" s="139">
        <f>SUM(E616:E620)</f>
        <v>0</v>
      </c>
      <c r="F621" s="139">
        <f>SUM(F616:F620)</f>
        <v>0</v>
      </c>
      <c r="G621" s="140">
        <f>SUM(G616:G620)</f>
        <v>24000</v>
      </c>
      <c r="H621" s="91">
        <f>G621/G623</f>
        <v>0.0006775258821238776</v>
      </c>
    </row>
    <row r="622" spans="1:8" ht="16.5" thickBot="1" thickTop="1">
      <c r="A622" s="259" t="s">
        <v>116</v>
      </c>
      <c r="B622" s="260"/>
      <c r="C622" s="260"/>
      <c r="D622" s="209">
        <f>D614+D621</f>
        <v>29000</v>
      </c>
      <c r="E622" s="209">
        <f>E614+E621</f>
        <v>0</v>
      </c>
      <c r="F622" s="209">
        <f>F614+F621</f>
        <v>0</v>
      </c>
      <c r="G622" s="209">
        <f>G614+G621</f>
        <v>35000</v>
      </c>
      <c r="H622" s="107">
        <f>G622/G623</f>
        <v>0.0009880585780973215</v>
      </c>
    </row>
    <row r="623" spans="1:8" ht="17.25" thickBot="1" thickTop="1">
      <c r="A623" s="257" t="s">
        <v>118</v>
      </c>
      <c r="B623" s="258"/>
      <c r="C623" s="258"/>
      <c r="D623" s="210">
        <f>D622+D609+D596+D525+D462+D369+D358+D350+D209+D203+D195+D162+D157+D94+D68+D56+D49+D19+D10</f>
        <v>34159522</v>
      </c>
      <c r="E623" s="210" t="e">
        <f>E622+E609+E596+E525+E462+E369+E358+E350+E209+E203+E195+E162+E157+E94+E68+E56+E49+E19+E10</f>
        <v>#REF!</v>
      </c>
      <c r="F623" s="210" t="e">
        <f>F622+F609+F596+F525+F462+F369+F358+F350+F209+F203+F195+F162+F157+F94+F68+F56+F49+F19+F10</f>
        <v>#REF!</v>
      </c>
      <c r="G623" s="210">
        <f>G622+G609+G596+G525+G462+G369+G358+G350+G209+G203+G195+G162+G157+G94+G68+G56+G49+G19+G10</f>
        <v>35423001</v>
      </c>
      <c r="H623" s="108">
        <f>G623/G623</f>
        <v>1</v>
      </c>
    </row>
    <row r="624" spans="1:8" ht="16.5" thickTop="1">
      <c r="A624" s="300" t="s">
        <v>281</v>
      </c>
      <c r="B624" s="301"/>
      <c r="C624" s="301"/>
      <c r="D624" s="301"/>
      <c r="E624" s="302"/>
      <c r="F624" s="211"/>
      <c r="G624" s="212"/>
      <c r="H624" s="84"/>
    </row>
    <row r="625" spans="1:8" ht="15">
      <c r="A625" s="78"/>
      <c r="B625" s="3"/>
      <c r="C625" s="4"/>
      <c r="D625" s="213"/>
      <c r="E625" s="214"/>
      <c r="F625" s="214"/>
      <c r="G625" s="212"/>
      <c r="H625" s="84"/>
    </row>
    <row r="626" spans="1:8" ht="15" customHeight="1">
      <c r="A626" s="3"/>
      <c r="B626" s="3"/>
      <c r="C626" s="4"/>
      <c r="D626" s="213"/>
      <c r="E626" s="256" t="s">
        <v>214</v>
      </c>
      <c r="F626" s="256"/>
      <c r="G626" s="212"/>
      <c r="H626" s="84"/>
    </row>
    <row r="627" spans="1:8" ht="15" customHeight="1">
      <c r="A627" s="3"/>
      <c r="B627" s="3"/>
      <c r="C627" s="4"/>
      <c r="D627" s="255"/>
      <c r="E627" s="255"/>
      <c r="F627" s="255"/>
      <c r="G627" s="255"/>
      <c r="H627" s="85"/>
    </row>
    <row r="628" spans="1:8" ht="15" customHeight="1">
      <c r="A628" s="3"/>
      <c r="B628" s="3"/>
      <c r="C628" s="4"/>
      <c r="D628" s="255"/>
      <c r="E628" s="255"/>
      <c r="F628" s="255"/>
      <c r="G628" s="255"/>
      <c r="H628" s="85"/>
    </row>
    <row r="629" spans="1:8" ht="15" customHeight="1">
      <c r="A629" s="3"/>
      <c r="B629" s="3"/>
      <c r="C629" s="4"/>
      <c r="D629" s="255"/>
      <c r="E629" s="255"/>
      <c r="F629" s="255"/>
      <c r="G629" s="255"/>
      <c r="H629" s="85"/>
    </row>
    <row r="630" spans="1:8" ht="15" customHeight="1">
      <c r="A630" s="3"/>
      <c r="B630" s="3"/>
      <c r="C630" s="4"/>
      <c r="D630" s="255"/>
      <c r="E630" s="255"/>
      <c r="F630" s="255"/>
      <c r="G630" s="255"/>
      <c r="H630" s="85"/>
    </row>
    <row r="631" spans="1:8" ht="15" customHeight="1">
      <c r="A631" s="3"/>
      <c r="B631" s="3"/>
      <c r="C631" s="4"/>
      <c r="D631" s="255"/>
      <c r="E631" s="255"/>
      <c r="F631" s="255"/>
      <c r="G631" s="255"/>
      <c r="H631" s="85"/>
    </row>
    <row r="632" spans="3:8" ht="15">
      <c r="C632" s="1"/>
      <c r="D632" s="215"/>
      <c r="E632" s="216"/>
      <c r="F632" s="216"/>
      <c r="G632" s="212">
        <f>D623</f>
        <v>34159522</v>
      </c>
      <c r="H632" s="84">
        <f>G623</f>
        <v>35423001</v>
      </c>
    </row>
    <row r="633" spans="3:8" ht="15">
      <c r="C633" s="1"/>
      <c r="D633" s="215"/>
      <c r="E633" s="216"/>
      <c r="F633" s="216"/>
      <c r="G633" s="212" t="e">
        <f>Arkusz2!C78</f>
        <v>#REF!</v>
      </c>
      <c r="H633" s="84" t="e">
        <f>Arkusz2!D78</f>
        <v>#REF!</v>
      </c>
    </row>
    <row r="634" spans="3:8" ht="15">
      <c r="C634" s="1"/>
      <c r="D634" s="217"/>
      <c r="E634" s="218"/>
      <c r="F634" s="218"/>
      <c r="G634" s="212" t="e">
        <f>G632-G633</f>
        <v>#REF!</v>
      </c>
      <c r="H634" s="84" t="e">
        <f>H632-H633</f>
        <v>#REF!</v>
      </c>
    </row>
    <row r="635" spans="3:8" ht="15">
      <c r="C635" s="1"/>
      <c r="D635" s="217"/>
      <c r="E635" s="218"/>
      <c r="F635" s="218"/>
      <c r="G635" s="212"/>
      <c r="H635" s="84"/>
    </row>
    <row r="636" spans="3:8" ht="15">
      <c r="C636" s="1"/>
      <c r="D636" s="217"/>
      <c r="E636" s="218"/>
      <c r="F636" s="218"/>
      <c r="G636" s="212"/>
      <c r="H636" s="84"/>
    </row>
    <row r="637" spans="3:8" ht="15">
      <c r="C637" s="1"/>
      <c r="D637" s="217"/>
      <c r="E637" s="218"/>
      <c r="F637" s="218"/>
      <c r="G637" s="212"/>
      <c r="H637" s="84"/>
    </row>
    <row r="638" spans="3:8" ht="15">
      <c r="C638" s="1"/>
      <c r="D638" s="217"/>
      <c r="E638" s="218"/>
      <c r="F638" s="218"/>
      <c r="G638" s="212"/>
      <c r="H638" s="84"/>
    </row>
    <row r="639" spans="3:8" ht="15">
      <c r="C639" s="1"/>
      <c r="D639" s="217"/>
      <c r="E639" s="218"/>
      <c r="F639" s="218"/>
      <c r="G639" s="212"/>
      <c r="H639" s="84"/>
    </row>
    <row r="640" spans="3:8" ht="15">
      <c r="C640" s="1"/>
      <c r="D640" s="217"/>
      <c r="E640" s="218"/>
      <c r="F640" s="218"/>
      <c r="G640" s="219"/>
      <c r="H640" s="86"/>
    </row>
    <row r="641" spans="3:8" ht="15">
      <c r="C641" s="1"/>
      <c r="D641" s="217"/>
      <c r="E641" s="218"/>
      <c r="F641" s="218"/>
      <c r="G641" s="219"/>
      <c r="H641" s="86"/>
    </row>
    <row r="642" spans="3:8" ht="15">
      <c r="C642" s="1"/>
      <c r="D642" s="217"/>
      <c r="E642" s="218"/>
      <c r="F642" s="218"/>
      <c r="G642" s="219"/>
      <c r="H642" s="86"/>
    </row>
    <row r="643" spans="3:8" ht="15">
      <c r="C643" s="1"/>
      <c r="D643" s="217"/>
      <c r="E643" s="218"/>
      <c r="F643" s="218"/>
      <c r="G643" s="219"/>
      <c r="H643" s="86"/>
    </row>
    <row r="644" spans="3:8" ht="15">
      <c r="C644" s="1"/>
      <c r="D644" s="217"/>
      <c r="E644" s="218"/>
      <c r="F644" s="218"/>
      <c r="G644" s="219"/>
      <c r="H644" s="86"/>
    </row>
    <row r="645" spans="3:8" ht="15">
      <c r="C645" s="1"/>
      <c r="D645" s="217"/>
      <c r="E645" s="218"/>
      <c r="F645" s="218"/>
      <c r="G645" s="219"/>
      <c r="H645" s="86"/>
    </row>
    <row r="646" spans="3:8" ht="15">
      <c r="C646" s="1"/>
      <c r="D646" s="217"/>
      <c r="E646" s="218"/>
      <c r="F646" s="218"/>
      <c r="G646" s="219"/>
      <c r="H646" s="86"/>
    </row>
    <row r="647" spans="3:8" ht="15">
      <c r="C647" s="1"/>
      <c r="D647" s="217"/>
      <c r="E647" s="218"/>
      <c r="F647" s="218"/>
      <c r="G647" s="219"/>
      <c r="H647" s="86"/>
    </row>
    <row r="648" spans="3:8" ht="15">
      <c r="C648" s="1"/>
      <c r="D648" s="217"/>
      <c r="E648" s="218"/>
      <c r="F648" s="218"/>
      <c r="G648" s="219"/>
      <c r="H648" s="86"/>
    </row>
    <row r="649" spans="3:8" ht="15">
      <c r="C649" s="1"/>
      <c r="D649" s="217"/>
      <c r="E649" s="218"/>
      <c r="F649" s="218"/>
      <c r="G649" s="219"/>
      <c r="H649" s="86"/>
    </row>
    <row r="650" spans="3:8" ht="15">
      <c r="C650" s="1"/>
      <c r="D650" s="217"/>
      <c r="E650" s="218"/>
      <c r="F650" s="218"/>
      <c r="G650" s="219"/>
      <c r="H650" s="86"/>
    </row>
    <row r="651" spans="3:8" ht="15">
      <c r="C651" s="1"/>
      <c r="D651" s="217"/>
      <c r="E651" s="218"/>
      <c r="F651" s="218"/>
      <c r="G651" s="219"/>
      <c r="H651" s="86"/>
    </row>
    <row r="652" spans="3:8" ht="15">
      <c r="C652" s="1"/>
      <c r="D652" s="217"/>
      <c r="E652" s="218"/>
      <c r="F652" s="218"/>
      <c r="G652" s="219"/>
      <c r="H652" s="86"/>
    </row>
    <row r="653" spans="3:8" ht="15">
      <c r="C653" s="1"/>
      <c r="D653" s="217"/>
      <c r="E653" s="218"/>
      <c r="F653" s="218"/>
      <c r="G653" s="219"/>
      <c r="H653" s="86"/>
    </row>
    <row r="654" spans="3:8" ht="15">
      <c r="C654" s="1"/>
      <c r="D654" s="217"/>
      <c r="E654" s="218"/>
      <c r="F654" s="218"/>
      <c r="G654" s="219"/>
      <c r="H654" s="86"/>
    </row>
    <row r="655" spans="3:8" ht="15">
      <c r="C655" s="1"/>
      <c r="D655" s="217"/>
      <c r="E655" s="218"/>
      <c r="F655" s="218"/>
      <c r="G655" s="219"/>
      <c r="H655" s="86"/>
    </row>
    <row r="656" spans="3:8" ht="15">
      <c r="C656" s="1"/>
      <c r="D656" s="217"/>
      <c r="E656" s="218"/>
      <c r="F656" s="218"/>
      <c r="G656" s="219"/>
      <c r="H656" s="86"/>
    </row>
    <row r="657" spans="3:8" ht="15">
      <c r="C657" s="1"/>
      <c r="D657" s="217"/>
      <c r="E657" s="218"/>
      <c r="F657" s="218"/>
      <c r="G657" s="219"/>
      <c r="H657" s="86"/>
    </row>
    <row r="658" spans="3:8" ht="15">
      <c r="C658" s="1"/>
      <c r="D658" s="217"/>
      <c r="E658" s="218"/>
      <c r="F658" s="218"/>
      <c r="G658" s="219"/>
      <c r="H658" s="86"/>
    </row>
    <row r="659" spans="3:8" ht="15">
      <c r="C659" s="1"/>
      <c r="D659" s="217"/>
      <c r="E659" s="218"/>
      <c r="F659" s="218"/>
      <c r="G659" s="219"/>
      <c r="H659" s="86"/>
    </row>
    <row r="660" spans="3:8" ht="15">
      <c r="C660" s="1"/>
      <c r="D660" s="217"/>
      <c r="E660" s="218"/>
      <c r="F660" s="218"/>
      <c r="G660" s="219"/>
      <c r="H660" s="86"/>
    </row>
    <row r="661" spans="3:8" ht="15">
      <c r="C661" s="1"/>
      <c r="D661" s="217"/>
      <c r="E661" s="218"/>
      <c r="F661" s="218"/>
      <c r="G661" s="219"/>
      <c r="H661" s="86"/>
    </row>
    <row r="662" spans="3:8" ht="26.25" customHeight="1">
      <c r="C662" s="1"/>
      <c r="D662" s="217"/>
      <c r="E662" s="218"/>
      <c r="F662" s="218"/>
      <c r="G662" s="219"/>
      <c r="H662" s="86"/>
    </row>
    <row r="663" spans="3:8" ht="15">
      <c r="C663" s="1"/>
      <c r="D663" s="217"/>
      <c r="E663" s="218"/>
      <c r="F663" s="218"/>
      <c r="G663" s="219"/>
      <c r="H663" s="86"/>
    </row>
    <row r="664" spans="3:8" ht="15">
      <c r="C664" s="1"/>
      <c r="D664" s="217"/>
      <c r="E664" s="218"/>
      <c r="F664" s="218"/>
      <c r="G664" s="219"/>
      <c r="H664" s="86"/>
    </row>
    <row r="665" spans="3:8" ht="15">
      <c r="C665" s="1"/>
      <c r="D665" s="217"/>
      <c r="E665" s="218"/>
      <c r="F665" s="218"/>
      <c r="G665" s="219"/>
      <c r="H665" s="86"/>
    </row>
    <row r="666" spans="3:8" ht="15">
      <c r="C666" s="1"/>
      <c r="D666" s="217"/>
      <c r="E666" s="218"/>
      <c r="F666" s="218"/>
      <c r="G666" s="219"/>
      <c r="H666" s="86"/>
    </row>
    <row r="667" spans="3:8" ht="15">
      <c r="C667" s="1"/>
      <c r="D667" s="217"/>
      <c r="E667" s="218"/>
      <c r="F667" s="218"/>
      <c r="G667" s="219"/>
      <c r="H667" s="86"/>
    </row>
    <row r="668" spans="3:8" ht="15">
      <c r="C668" s="1"/>
      <c r="D668" s="217"/>
      <c r="E668" s="218"/>
      <c r="F668" s="218"/>
      <c r="G668" s="219"/>
      <c r="H668" s="86"/>
    </row>
    <row r="669" spans="3:8" ht="15">
      <c r="C669" s="1"/>
      <c r="D669" s="217"/>
      <c r="E669" s="218"/>
      <c r="F669" s="218"/>
      <c r="G669" s="219"/>
      <c r="H669" s="86"/>
    </row>
    <row r="670" spans="3:8" ht="15">
      <c r="C670" s="1"/>
      <c r="D670" s="217"/>
      <c r="E670" s="218"/>
      <c r="F670" s="218"/>
      <c r="G670" s="219"/>
      <c r="H670" s="86"/>
    </row>
    <row r="671" spans="3:8" ht="15">
      <c r="C671" s="1"/>
      <c r="D671" s="217"/>
      <c r="E671" s="218"/>
      <c r="F671" s="218"/>
      <c r="G671" s="219"/>
      <c r="H671" s="86"/>
    </row>
    <row r="672" spans="3:8" ht="15">
      <c r="C672" s="1"/>
      <c r="D672" s="217"/>
      <c r="E672" s="218"/>
      <c r="F672" s="218"/>
      <c r="G672" s="219"/>
      <c r="H672" s="86"/>
    </row>
    <row r="673" spans="3:8" ht="15">
      <c r="C673" s="1"/>
      <c r="D673" s="217"/>
      <c r="E673" s="218"/>
      <c r="F673" s="218"/>
      <c r="G673" s="219"/>
      <c r="H673" s="86"/>
    </row>
    <row r="674" spans="3:8" ht="15">
      <c r="C674" s="1"/>
      <c r="D674" s="217"/>
      <c r="E674" s="218"/>
      <c r="F674" s="218"/>
      <c r="G674" s="219"/>
      <c r="H674" s="86"/>
    </row>
    <row r="675" spans="3:8" ht="15">
      <c r="C675" s="1"/>
      <c r="D675" s="217"/>
      <c r="E675" s="218"/>
      <c r="F675" s="218"/>
      <c r="G675" s="219"/>
      <c r="H675" s="86"/>
    </row>
    <row r="676" spans="3:8" ht="15">
      <c r="C676" s="1"/>
      <c r="D676" s="217"/>
      <c r="E676" s="218"/>
      <c r="F676" s="218"/>
      <c r="G676" s="219"/>
      <c r="H676" s="86"/>
    </row>
    <row r="677" spans="3:8" ht="15">
      <c r="C677" s="1"/>
      <c r="D677" s="217"/>
      <c r="E677" s="218"/>
      <c r="F677" s="218"/>
      <c r="G677" s="219"/>
      <c r="H677" s="86"/>
    </row>
    <row r="678" spans="3:8" ht="15">
      <c r="C678" s="1"/>
      <c r="D678" s="217"/>
      <c r="E678" s="218"/>
      <c r="F678" s="218"/>
      <c r="G678" s="219"/>
      <c r="H678" s="86"/>
    </row>
    <row r="679" spans="3:8" ht="15">
      <c r="C679" s="1"/>
      <c r="D679" s="217"/>
      <c r="E679" s="218"/>
      <c r="F679" s="218"/>
      <c r="G679" s="219"/>
      <c r="H679" s="86"/>
    </row>
    <row r="680" spans="3:8" ht="15">
      <c r="C680" s="1"/>
      <c r="D680" s="217"/>
      <c r="E680" s="218"/>
      <c r="F680" s="218"/>
      <c r="G680" s="219"/>
      <c r="H680" s="86"/>
    </row>
    <row r="681" spans="3:8" ht="15">
      <c r="C681" s="1"/>
      <c r="D681" s="217"/>
      <c r="E681" s="218"/>
      <c r="F681" s="218"/>
      <c r="G681" s="219"/>
      <c r="H681" s="86"/>
    </row>
    <row r="682" spans="3:8" ht="15">
      <c r="C682" s="1"/>
      <c r="D682" s="217"/>
      <c r="E682" s="218"/>
      <c r="F682" s="218"/>
      <c r="G682" s="219"/>
      <c r="H682" s="86"/>
    </row>
    <row r="683" spans="3:8" ht="15">
      <c r="C683" s="1"/>
      <c r="D683" s="217"/>
      <c r="E683" s="218"/>
      <c r="F683" s="218"/>
      <c r="G683" s="219"/>
      <c r="H683" s="86"/>
    </row>
    <row r="684" spans="3:8" ht="15">
      <c r="C684" s="1"/>
      <c r="D684" s="217"/>
      <c r="E684" s="218"/>
      <c r="F684" s="218"/>
      <c r="G684" s="219"/>
      <c r="H684" s="86"/>
    </row>
    <row r="685" spans="3:8" ht="15">
      <c r="C685" s="1"/>
      <c r="D685" s="217"/>
      <c r="E685" s="218"/>
      <c r="F685" s="218"/>
      <c r="G685" s="219"/>
      <c r="H685" s="86"/>
    </row>
    <row r="686" spans="3:8" ht="15">
      <c r="C686" s="1"/>
      <c r="D686" s="217"/>
      <c r="E686" s="218"/>
      <c r="F686" s="218"/>
      <c r="G686" s="219"/>
      <c r="H686" s="86"/>
    </row>
    <row r="687" spans="3:7" ht="12.75">
      <c r="C687" s="1"/>
      <c r="D687" s="217"/>
      <c r="E687" s="218"/>
      <c r="F687" s="218"/>
      <c r="G687" s="220"/>
    </row>
    <row r="688" spans="3:7" ht="12.75">
      <c r="C688" s="1"/>
      <c r="D688" s="217"/>
      <c r="E688" s="218"/>
      <c r="F688" s="218"/>
      <c r="G688" s="220"/>
    </row>
    <row r="689" spans="3:7" ht="12.75">
      <c r="C689" s="1"/>
      <c r="D689" s="217"/>
      <c r="E689" s="218"/>
      <c r="F689" s="218"/>
      <c r="G689" s="220"/>
    </row>
    <row r="690" spans="3:7" ht="12.75">
      <c r="C690" s="1"/>
      <c r="D690" s="217"/>
      <c r="E690" s="218"/>
      <c r="F690" s="218"/>
      <c r="G690" s="220"/>
    </row>
    <row r="691" spans="3:7" ht="12.75">
      <c r="C691" s="1"/>
      <c r="D691" s="217"/>
      <c r="E691" s="218"/>
      <c r="F691" s="218"/>
      <c r="G691" s="220"/>
    </row>
    <row r="692" spans="3:7" ht="12.75">
      <c r="C692" s="1"/>
      <c r="D692" s="217"/>
      <c r="E692" s="218"/>
      <c r="F692" s="218"/>
      <c r="G692" s="220"/>
    </row>
    <row r="693" spans="3:7" ht="12.75">
      <c r="C693" s="1"/>
      <c r="D693" s="217"/>
      <c r="E693" s="218"/>
      <c r="F693" s="218"/>
      <c r="G693" s="220"/>
    </row>
    <row r="694" spans="3:7" ht="12.75">
      <c r="C694" s="1"/>
      <c r="D694" s="217"/>
      <c r="E694" s="218"/>
      <c r="F694" s="218"/>
      <c r="G694" s="220"/>
    </row>
    <row r="695" spans="3:7" ht="12.75">
      <c r="C695" s="1"/>
      <c r="D695" s="217"/>
      <c r="E695" s="218"/>
      <c r="F695" s="218"/>
      <c r="G695" s="220"/>
    </row>
    <row r="696" spans="3:7" ht="12.75">
      <c r="C696" s="1"/>
      <c r="D696" s="217"/>
      <c r="E696" s="218"/>
      <c r="F696" s="218"/>
      <c r="G696" s="220"/>
    </row>
    <row r="697" spans="3:7" ht="12.75">
      <c r="C697" s="1"/>
      <c r="D697" s="217"/>
      <c r="E697" s="218"/>
      <c r="F697" s="218"/>
      <c r="G697" s="220"/>
    </row>
    <row r="698" spans="3:7" ht="12.75">
      <c r="C698" s="1"/>
      <c r="D698" s="217"/>
      <c r="E698" s="218"/>
      <c r="F698" s="218"/>
      <c r="G698" s="220"/>
    </row>
    <row r="699" spans="3:7" ht="12.75">
      <c r="C699" s="1"/>
      <c r="D699" s="217"/>
      <c r="E699" s="218"/>
      <c r="F699" s="218"/>
      <c r="G699" s="220"/>
    </row>
    <row r="700" spans="3:7" ht="12.75">
      <c r="C700" s="1"/>
      <c r="D700" s="217"/>
      <c r="E700" s="218"/>
      <c r="F700" s="218"/>
      <c r="G700" s="220"/>
    </row>
    <row r="701" spans="3:7" ht="12.75">
      <c r="C701" s="1"/>
      <c r="D701" s="217"/>
      <c r="E701" s="218"/>
      <c r="F701" s="218"/>
      <c r="G701" s="220"/>
    </row>
    <row r="702" spans="3:7" ht="12.75">
      <c r="C702" s="1"/>
      <c r="D702" s="217"/>
      <c r="E702" s="218"/>
      <c r="F702" s="218"/>
      <c r="G702" s="220"/>
    </row>
    <row r="703" spans="3:7" ht="12.75">
      <c r="C703" s="1"/>
      <c r="D703" s="217"/>
      <c r="E703" s="218"/>
      <c r="F703" s="218"/>
      <c r="G703" s="220"/>
    </row>
    <row r="704" spans="3:7" ht="12.75">
      <c r="C704" s="1"/>
      <c r="D704" s="217"/>
      <c r="E704" s="218"/>
      <c r="F704" s="218"/>
      <c r="G704" s="220"/>
    </row>
    <row r="705" spans="3:7" ht="12.75">
      <c r="C705" s="1"/>
      <c r="D705" s="217"/>
      <c r="E705" s="218"/>
      <c r="F705" s="218"/>
      <c r="G705" s="220"/>
    </row>
    <row r="706" spans="3:7" ht="12.75">
      <c r="C706" s="1"/>
      <c r="D706" s="217"/>
      <c r="E706" s="218"/>
      <c r="F706" s="218"/>
      <c r="G706" s="220"/>
    </row>
    <row r="707" spans="3:7" ht="12.75">
      <c r="C707" s="1"/>
      <c r="D707" s="217"/>
      <c r="E707" s="218"/>
      <c r="F707" s="218"/>
      <c r="G707" s="220"/>
    </row>
    <row r="708" spans="3:7" ht="12.75">
      <c r="C708" s="1"/>
      <c r="D708" s="217"/>
      <c r="E708" s="218"/>
      <c r="F708" s="218"/>
      <c r="G708" s="220"/>
    </row>
    <row r="709" spans="3:7" ht="12.75">
      <c r="C709" s="1"/>
      <c r="D709" s="217"/>
      <c r="E709" s="218"/>
      <c r="F709" s="218"/>
      <c r="G709" s="220"/>
    </row>
    <row r="710" spans="3:7" ht="12.75">
      <c r="C710" s="1"/>
      <c r="D710" s="217"/>
      <c r="E710" s="218"/>
      <c r="F710" s="218"/>
      <c r="G710" s="220"/>
    </row>
    <row r="711" spans="3:7" ht="12.75">
      <c r="C711" s="1"/>
      <c r="D711" s="217"/>
      <c r="E711" s="218"/>
      <c r="F711" s="218"/>
      <c r="G711" s="220"/>
    </row>
    <row r="712" spans="3:7" ht="12.75">
      <c r="C712" s="1"/>
      <c r="D712" s="217"/>
      <c r="E712" s="218"/>
      <c r="F712" s="218"/>
      <c r="G712" s="220"/>
    </row>
    <row r="713" spans="3:7" ht="12.75">
      <c r="C713" s="1"/>
      <c r="D713" s="217"/>
      <c r="E713" s="218"/>
      <c r="F713" s="218"/>
      <c r="G713" s="220"/>
    </row>
    <row r="714" spans="3:7" ht="12.75">
      <c r="C714" s="1"/>
      <c r="D714" s="217"/>
      <c r="E714" s="218"/>
      <c r="F714" s="216"/>
      <c r="G714" s="220"/>
    </row>
    <row r="715" spans="3:7" ht="12.75">
      <c r="C715" s="1"/>
      <c r="D715" s="217"/>
      <c r="E715" s="218"/>
      <c r="F715" s="216"/>
      <c r="G715" s="220"/>
    </row>
    <row r="716" spans="3:7" ht="12.75">
      <c r="C716" s="1"/>
      <c r="D716" s="217"/>
      <c r="E716" s="218"/>
      <c r="F716" s="216"/>
      <c r="G716" s="220"/>
    </row>
    <row r="717" spans="3:7" ht="12.75">
      <c r="C717" s="1"/>
      <c r="D717" s="217"/>
      <c r="E717" s="218"/>
      <c r="F717" s="216"/>
      <c r="G717" s="220"/>
    </row>
    <row r="718" spans="3:7" ht="12.75">
      <c r="C718" s="1"/>
      <c r="D718" s="217"/>
      <c r="E718" s="218"/>
      <c r="F718" s="216"/>
      <c r="G718" s="220"/>
    </row>
    <row r="719" spans="3:7" ht="12.75">
      <c r="C719" s="1"/>
      <c r="D719" s="217"/>
      <c r="E719" s="218"/>
      <c r="F719" s="216"/>
      <c r="G719" s="220"/>
    </row>
    <row r="720" spans="3:7" ht="12.75">
      <c r="C720" s="1"/>
      <c r="D720" s="217"/>
      <c r="E720" s="218"/>
      <c r="F720" s="216"/>
      <c r="G720" s="220"/>
    </row>
    <row r="721" spans="3:7" ht="12.75">
      <c r="C721" s="1"/>
      <c r="D721" s="217"/>
      <c r="E721" s="218"/>
      <c r="F721" s="216"/>
      <c r="G721" s="220"/>
    </row>
    <row r="722" spans="3:7" ht="12.75">
      <c r="C722" s="1"/>
      <c r="D722" s="217"/>
      <c r="E722" s="218"/>
      <c r="F722" s="216"/>
      <c r="G722" s="220"/>
    </row>
    <row r="723" spans="3:7" ht="12.75">
      <c r="C723" s="1"/>
      <c r="D723" s="217"/>
      <c r="E723" s="218"/>
      <c r="F723" s="216"/>
      <c r="G723" s="220"/>
    </row>
    <row r="724" spans="3:7" ht="12.75">
      <c r="C724" s="1"/>
      <c r="D724" s="217"/>
      <c r="E724" s="218"/>
      <c r="F724" s="216"/>
      <c r="G724" s="220"/>
    </row>
    <row r="725" spans="3:7" ht="12.75">
      <c r="C725" s="1"/>
      <c r="D725" s="217"/>
      <c r="E725" s="218"/>
      <c r="F725" s="216"/>
      <c r="G725" s="220"/>
    </row>
    <row r="726" spans="3:7" ht="12.75">
      <c r="C726" s="1"/>
      <c r="D726" s="217"/>
      <c r="E726" s="218"/>
      <c r="F726" s="216"/>
      <c r="G726" s="220"/>
    </row>
    <row r="727" spans="3:7" ht="12.75">
      <c r="C727" s="1"/>
      <c r="D727" s="217"/>
      <c r="E727" s="218"/>
      <c r="F727" s="216"/>
      <c r="G727" s="220"/>
    </row>
    <row r="728" spans="3:7" ht="12.75">
      <c r="C728" s="1"/>
      <c r="D728" s="217"/>
      <c r="E728" s="218"/>
      <c r="F728" s="216"/>
      <c r="G728" s="220"/>
    </row>
    <row r="729" spans="3:7" ht="12.75">
      <c r="C729" s="1"/>
      <c r="D729" s="217"/>
      <c r="E729" s="218"/>
      <c r="F729" s="216"/>
      <c r="G729" s="220"/>
    </row>
    <row r="730" spans="3:7" ht="12.75">
      <c r="C730" s="1"/>
      <c r="D730" s="217"/>
      <c r="E730" s="218"/>
      <c r="F730" s="216"/>
      <c r="G730" s="220"/>
    </row>
    <row r="731" spans="3:7" ht="12.75">
      <c r="C731" s="1"/>
      <c r="D731" s="217"/>
      <c r="E731" s="218"/>
      <c r="F731" s="216"/>
      <c r="G731" s="220"/>
    </row>
    <row r="732" spans="3:7" ht="12.75">
      <c r="C732" s="1"/>
      <c r="D732" s="217"/>
      <c r="E732" s="218"/>
      <c r="F732" s="216"/>
      <c r="G732" s="220"/>
    </row>
    <row r="733" spans="3:7" ht="12.75">
      <c r="C733" s="1"/>
      <c r="D733" s="217"/>
      <c r="E733" s="218"/>
      <c r="F733" s="216"/>
      <c r="G733" s="220"/>
    </row>
    <row r="734" spans="3:7" ht="12.75">
      <c r="C734" s="1"/>
      <c r="D734" s="217"/>
      <c r="E734" s="218"/>
      <c r="F734" s="216"/>
      <c r="G734" s="220"/>
    </row>
    <row r="735" spans="3:7" ht="12.75">
      <c r="C735" s="1"/>
      <c r="D735" s="217"/>
      <c r="E735" s="218"/>
      <c r="F735" s="216"/>
      <c r="G735" s="220"/>
    </row>
    <row r="736" spans="3:7" ht="12.75">
      <c r="C736" s="1"/>
      <c r="D736" s="217"/>
      <c r="E736" s="218"/>
      <c r="F736" s="216"/>
      <c r="G736" s="220"/>
    </row>
    <row r="737" spans="3:7" ht="12.75">
      <c r="C737" s="1"/>
      <c r="D737" s="217"/>
      <c r="E737" s="218"/>
      <c r="F737" s="216"/>
      <c r="G737" s="220"/>
    </row>
    <row r="738" spans="3:7" ht="12.75">
      <c r="C738" s="1"/>
      <c r="D738" s="217"/>
      <c r="E738" s="218"/>
      <c r="F738" s="216"/>
      <c r="G738" s="220"/>
    </row>
    <row r="739" spans="3:7" ht="12.75">
      <c r="C739" s="1"/>
      <c r="D739" s="217"/>
      <c r="E739" s="218"/>
      <c r="F739" s="216"/>
      <c r="G739" s="220"/>
    </row>
    <row r="740" spans="3:7" ht="12.75">
      <c r="C740" s="1"/>
      <c r="D740" s="217"/>
      <c r="E740" s="218"/>
      <c r="F740" s="216"/>
      <c r="G740" s="220"/>
    </row>
    <row r="741" spans="3:7" ht="12.75">
      <c r="C741" s="1"/>
      <c r="D741" s="217"/>
      <c r="E741" s="218"/>
      <c r="F741" s="216"/>
      <c r="G741" s="220"/>
    </row>
    <row r="742" spans="3:7" ht="12.75">
      <c r="C742" s="1"/>
      <c r="D742" s="217"/>
      <c r="E742" s="218"/>
      <c r="F742" s="216"/>
      <c r="G742" s="220"/>
    </row>
    <row r="743" spans="3:7" ht="12.75">
      <c r="C743" s="1"/>
      <c r="D743" s="217"/>
      <c r="E743" s="218"/>
      <c r="F743" s="216"/>
      <c r="G743" s="220"/>
    </row>
    <row r="744" spans="3:7" ht="12.75">
      <c r="C744" s="1"/>
      <c r="D744" s="217"/>
      <c r="E744" s="218"/>
      <c r="F744" s="216"/>
      <c r="G744" s="220"/>
    </row>
    <row r="745" spans="3:7" ht="12.75">
      <c r="C745" s="1"/>
      <c r="D745" s="217"/>
      <c r="E745" s="218"/>
      <c r="F745" s="216"/>
      <c r="G745" s="220"/>
    </row>
    <row r="746" spans="3:7" ht="12.75">
      <c r="C746" s="1"/>
      <c r="D746" s="217"/>
      <c r="E746" s="218"/>
      <c r="F746" s="216"/>
      <c r="G746" s="220"/>
    </row>
    <row r="747" spans="3:7" ht="12.75">
      <c r="C747" s="1"/>
      <c r="D747" s="217"/>
      <c r="E747" s="218"/>
      <c r="F747" s="216"/>
      <c r="G747" s="220"/>
    </row>
    <row r="748" spans="3:7" ht="12.75">
      <c r="C748" s="1"/>
      <c r="D748" s="217"/>
      <c r="E748" s="218"/>
      <c r="F748" s="216"/>
      <c r="G748" s="220"/>
    </row>
    <row r="749" spans="3:7" ht="12.75">
      <c r="C749" s="1"/>
      <c r="D749" s="217"/>
      <c r="E749" s="218"/>
      <c r="F749" s="216"/>
      <c r="G749" s="220"/>
    </row>
    <row r="750" spans="3:7" ht="12.75">
      <c r="C750" s="1"/>
      <c r="D750" s="217"/>
      <c r="E750" s="218"/>
      <c r="F750" s="216"/>
      <c r="G750" s="220"/>
    </row>
    <row r="751" spans="3:7" ht="12.75">
      <c r="C751" s="1"/>
      <c r="D751" s="217"/>
      <c r="E751" s="218"/>
      <c r="F751" s="216"/>
      <c r="G751" s="220"/>
    </row>
    <row r="752" spans="3:7" ht="12.75">
      <c r="C752" s="1"/>
      <c r="D752" s="217"/>
      <c r="E752" s="218"/>
      <c r="F752" s="216"/>
      <c r="G752" s="220"/>
    </row>
    <row r="753" spans="3:7" ht="12.75">
      <c r="C753" s="1"/>
      <c r="D753" s="217"/>
      <c r="E753" s="218"/>
      <c r="F753" s="216"/>
      <c r="G753" s="220"/>
    </row>
    <row r="754" spans="3:7" ht="12.75">
      <c r="C754" s="1"/>
      <c r="D754" s="217"/>
      <c r="E754" s="218"/>
      <c r="F754" s="216"/>
      <c r="G754" s="220"/>
    </row>
    <row r="755" spans="3:7" ht="12.75">
      <c r="C755" s="1"/>
      <c r="D755" s="217"/>
      <c r="E755" s="218"/>
      <c r="F755" s="216"/>
      <c r="G755" s="220"/>
    </row>
    <row r="756" spans="3:7" ht="12.75">
      <c r="C756" s="1"/>
      <c r="D756" s="217"/>
      <c r="E756" s="218"/>
      <c r="F756" s="216"/>
      <c r="G756" s="220"/>
    </row>
    <row r="757" spans="3:7" ht="12.75">
      <c r="C757" s="1"/>
      <c r="D757" s="217"/>
      <c r="E757" s="218"/>
      <c r="F757" s="216"/>
      <c r="G757" s="220"/>
    </row>
    <row r="758" spans="3:7" ht="12.75">
      <c r="C758" s="1"/>
      <c r="D758" s="217"/>
      <c r="E758" s="218"/>
      <c r="F758" s="216"/>
      <c r="G758" s="220"/>
    </row>
    <row r="759" spans="3:7" ht="12.75">
      <c r="C759" s="1"/>
      <c r="D759" s="217"/>
      <c r="E759" s="218"/>
      <c r="F759" s="216"/>
      <c r="G759" s="220"/>
    </row>
    <row r="760" spans="3:7" ht="12.75">
      <c r="C760" s="1"/>
      <c r="D760" s="217"/>
      <c r="E760" s="218"/>
      <c r="F760" s="216"/>
      <c r="G760" s="220"/>
    </row>
    <row r="761" spans="3:7" ht="12.75">
      <c r="C761" s="1"/>
      <c r="D761" s="217"/>
      <c r="E761" s="218"/>
      <c r="F761" s="216"/>
      <c r="G761" s="220"/>
    </row>
    <row r="762" spans="3:7" ht="12.75">
      <c r="C762" s="1"/>
      <c r="D762" s="217"/>
      <c r="E762" s="218"/>
      <c r="F762" s="216"/>
      <c r="G762" s="220"/>
    </row>
    <row r="763" spans="3:7" ht="12.75">
      <c r="C763" s="1"/>
      <c r="D763" s="217"/>
      <c r="E763" s="218"/>
      <c r="F763" s="216"/>
      <c r="G763" s="220"/>
    </row>
    <row r="764" spans="3:7" ht="12.75">
      <c r="C764" s="1"/>
      <c r="D764" s="217"/>
      <c r="E764" s="218"/>
      <c r="F764" s="216"/>
      <c r="G764" s="220"/>
    </row>
    <row r="765" spans="3:7" ht="12.75">
      <c r="C765" s="1"/>
      <c r="D765" s="217"/>
      <c r="E765" s="218"/>
      <c r="F765" s="216"/>
      <c r="G765" s="220"/>
    </row>
    <row r="766" spans="3:7" ht="12.75">
      <c r="C766" s="1"/>
      <c r="D766" s="217"/>
      <c r="E766" s="218"/>
      <c r="F766" s="216"/>
      <c r="G766" s="220"/>
    </row>
    <row r="767" spans="3:7" ht="12.75">
      <c r="C767" s="1"/>
      <c r="D767" s="217"/>
      <c r="E767" s="218"/>
      <c r="F767" s="216"/>
      <c r="G767" s="220"/>
    </row>
    <row r="768" spans="3:7" ht="12.75">
      <c r="C768" s="1"/>
      <c r="D768" s="217"/>
      <c r="E768" s="218"/>
      <c r="F768" s="216"/>
      <c r="G768" s="220"/>
    </row>
    <row r="769" spans="3:7" ht="12.75">
      <c r="C769" s="1"/>
      <c r="D769" s="217"/>
      <c r="E769" s="218"/>
      <c r="F769" s="216"/>
      <c r="G769" s="220"/>
    </row>
    <row r="770" spans="3:7" ht="12.75">
      <c r="C770" s="1"/>
      <c r="D770" s="217"/>
      <c r="E770" s="218"/>
      <c r="F770" s="216"/>
      <c r="G770" s="220"/>
    </row>
    <row r="771" spans="3:7" ht="12.75">
      <c r="C771" s="1"/>
      <c r="D771" s="217"/>
      <c r="E771" s="218"/>
      <c r="F771" s="216"/>
      <c r="G771" s="220"/>
    </row>
    <row r="772" spans="3:7" ht="12.75">
      <c r="C772" s="1"/>
      <c r="D772" s="217"/>
      <c r="E772" s="218"/>
      <c r="F772" s="216"/>
      <c r="G772" s="220"/>
    </row>
    <row r="773" spans="3:7" ht="12.75">
      <c r="C773" s="1"/>
      <c r="D773" s="217"/>
      <c r="E773" s="218"/>
      <c r="F773" s="216"/>
      <c r="G773" s="220"/>
    </row>
    <row r="774" spans="3:7" ht="12.75">
      <c r="C774" s="1"/>
      <c r="D774" s="217"/>
      <c r="E774" s="218"/>
      <c r="F774" s="218"/>
      <c r="G774" s="220"/>
    </row>
    <row r="775" spans="3:7" ht="12.75">
      <c r="C775" s="1"/>
      <c r="D775" s="217"/>
      <c r="E775" s="218"/>
      <c r="F775" s="218"/>
      <c r="G775" s="220"/>
    </row>
    <row r="776" spans="3:7" ht="12.75">
      <c r="C776" s="1"/>
      <c r="D776" s="217"/>
      <c r="E776" s="218"/>
      <c r="F776" s="218"/>
      <c r="G776" s="220"/>
    </row>
    <row r="777" spans="3:7" ht="12.75">
      <c r="C777" s="1"/>
      <c r="D777" s="217"/>
      <c r="E777" s="218"/>
      <c r="F777" s="218"/>
      <c r="G777" s="220"/>
    </row>
    <row r="778" spans="3:7" ht="12.75">
      <c r="C778" s="1"/>
      <c r="D778" s="217"/>
      <c r="E778" s="218"/>
      <c r="F778" s="218"/>
      <c r="G778" s="220"/>
    </row>
    <row r="779" spans="3:7" ht="12.75">
      <c r="C779" s="1"/>
      <c r="D779" s="217"/>
      <c r="E779" s="218"/>
      <c r="F779" s="218"/>
      <c r="G779" s="220"/>
    </row>
    <row r="780" spans="3:7" ht="12.75">
      <c r="C780" s="1"/>
      <c r="D780" s="217"/>
      <c r="E780" s="218"/>
      <c r="F780" s="218"/>
      <c r="G780" s="220"/>
    </row>
    <row r="781" spans="3:7" ht="12.75">
      <c r="C781" s="1"/>
      <c r="D781" s="217"/>
      <c r="E781" s="218"/>
      <c r="F781" s="218"/>
      <c r="G781" s="220"/>
    </row>
    <row r="782" spans="3:7" ht="12.75">
      <c r="C782" s="1"/>
      <c r="D782" s="217"/>
      <c r="E782" s="218"/>
      <c r="F782" s="218"/>
      <c r="G782" s="220"/>
    </row>
    <row r="783" spans="3:7" ht="12.75">
      <c r="C783" s="1"/>
      <c r="D783" s="217"/>
      <c r="E783" s="218"/>
      <c r="F783" s="218"/>
      <c r="G783" s="220"/>
    </row>
    <row r="784" spans="3:7" ht="12.75">
      <c r="C784" s="1"/>
      <c r="D784" s="217"/>
      <c r="E784" s="218"/>
      <c r="F784" s="218"/>
      <c r="G784" s="220"/>
    </row>
    <row r="785" spans="3:7" ht="12.75">
      <c r="C785" s="1"/>
      <c r="D785" s="217"/>
      <c r="E785" s="218"/>
      <c r="F785" s="218"/>
      <c r="G785" s="220"/>
    </row>
    <row r="786" spans="3:7" ht="12.75">
      <c r="C786" s="1"/>
      <c r="D786" s="217"/>
      <c r="E786" s="218"/>
      <c r="F786" s="218"/>
      <c r="G786" s="220"/>
    </row>
    <row r="787" spans="3:7" ht="12.75">
      <c r="C787" s="1"/>
      <c r="D787" s="217"/>
      <c r="E787" s="218"/>
      <c r="F787" s="218"/>
      <c r="G787" s="220"/>
    </row>
    <row r="788" spans="3:7" ht="12.75">
      <c r="C788" s="1"/>
      <c r="D788" s="217"/>
      <c r="E788" s="218"/>
      <c r="F788" s="218"/>
      <c r="G788" s="220"/>
    </row>
    <row r="789" spans="3:7" ht="12.75">
      <c r="C789" s="1"/>
      <c r="D789" s="217"/>
      <c r="E789" s="218"/>
      <c r="F789" s="218"/>
      <c r="G789" s="220"/>
    </row>
    <row r="790" spans="3:7" ht="12.75">
      <c r="C790" s="1"/>
      <c r="D790" s="217"/>
      <c r="E790" s="218"/>
      <c r="F790" s="218"/>
      <c r="G790" s="220"/>
    </row>
    <row r="791" spans="3:7" ht="12.75">
      <c r="C791" s="1"/>
      <c r="D791" s="217"/>
      <c r="E791" s="218"/>
      <c r="F791" s="218"/>
      <c r="G791" s="220"/>
    </row>
    <row r="792" spans="3:7" ht="12.75">
      <c r="C792" s="1"/>
      <c r="D792" s="217"/>
      <c r="E792" s="218"/>
      <c r="F792" s="218"/>
      <c r="G792" s="220"/>
    </row>
    <row r="793" spans="3:7" ht="12.75">
      <c r="C793" s="1"/>
      <c r="D793" s="217"/>
      <c r="E793" s="218"/>
      <c r="F793" s="218"/>
      <c r="G793" s="220"/>
    </row>
    <row r="794" spans="3:7" ht="12.75">
      <c r="C794" s="1"/>
      <c r="D794" s="217"/>
      <c r="E794" s="218"/>
      <c r="F794" s="218"/>
      <c r="G794" s="220"/>
    </row>
    <row r="795" spans="3:7" ht="12.75">
      <c r="C795" s="1"/>
      <c r="D795" s="217"/>
      <c r="E795" s="218"/>
      <c r="F795" s="218"/>
      <c r="G795" s="220"/>
    </row>
    <row r="796" spans="3:7" ht="12.75">
      <c r="C796" s="1"/>
      <c r="D796" s="217"/>
      <c r="E796" s="218"/>
      <c r="F796" s="218"/>
      <c r="G796" s="220"/>
    </row>
    <row r="797" spans="3:7" ht="12.75">
      <c r="C797" s="1"/>
      <c r="D797" s="217"/>
      <c r="E797" s="218"/>
      <c r="F797" s="218"/>
      <c r="G797" s="220"/>
    </row>
    <row r="798" spans="3:7" ht="12.75">
      <c r="C798" s="1"/>
      <c r="D798" s="217"/>
      <c r="E798" s="218"/>
      <c r="F798" s="218"/>
      <c r="G798" s="220"/>
    </row>
    <row r="799" spans="3:7" ht="12.75">
      <c r="C799" s="1"/>
      <c r="D799" s="217"/>
      <c r="E799" s="218"/>
      <c r="F799" s="218"/>
      <c r="G799" s="220"/>
    </row>
    <row r="800" spans="3:7" ht="12.75">
      <c r="C800" s="1"/>
      <c r="D800" s="217"/>
      <c r="E800" s="218"/>
      <c r="F800" s="218"/>
      <c r="G800" s="220"/>
    </row>
    <row r="801" spans="3:7" ht="12.75">
      <c r="C801" s="1"/>
      <c r="D801" s="217"/>
      <c r="E801" s="218"/>
      <c r="F801" s="218"/>
      <c r="G801" s="220"/>
    </row>
    <row r="802" spans="3:7" ht="12.75">
      <c r="C802" s="1"/>
      <c r="D802" s="217"/>
      <c r="E802" s="218"/>
      <c r="F802" s="218"/>
      <c r="G802" s="220"/>
    </row>
    <row r="803" spans="3:7" ht="12.75">
      <c r="C803" s="1"/>
      <c r="D803" s="217"/>
      <c r="E803" s="218"/>
      <c r="F803" s="218"/>
      <c r="G803" s="220"/>
    </row>
    <row r="804" spans="3:7" ht="12.75">
      <c r="C804" s="1"/>
      <c r="D804" s="217"/>
      <c r="E804" s="218"/>
      <c r="F804" s="216"/>
      <c r="G804" s="220"/>
    </row>
    <row r="805" spans="3:7" ht="12.75">
      <c r="C805" s="1"/>
      <c r="D805" s="217"/>
      <c r="E805" s="218"/>
      <c r="F805" s="216"/>
      <c r="G805" s="220"/>
    </row>
    <row r="806" spans="3:7" ht="12.75">
      <c r="C806" s="1"/>
      <c r="D806" s="217"/>
      <c r="E806" s="218"/>
      <c r="F806" s="216"/>
      <c r="G806" s="220"/>
    </row>
    <row r="807" spans="3:7" ht="12.75">
      <c r="C807" s="1"/>
      <c r="D807" s="217"/>
      <c r="E807" s="218"/>
      <c r="F807" s="216"/>
      <c r="G807" s="220"/>
    </row>
    <row r="808" spans="3:7" ht="12.75">
      <c r="C808" s="1"/>
      <c r="D808" s="217"/>
      <c r="E808" s="218"/>
      <c r="F808" s="216"/>
      <c r="G808" s="220"/>
    </row>
    <row r="809" spans="3:7" ht="12.75">
      <c r="C809" s="1"/>
      <c r="D809" s="217"/>
      <c r="E809" s="218"/>
      <c r="F809" s="216"/>
      <c r="G809" s="220"/>
    </row>
    <row r="810" spans="3:7" ht="12.75">
      <c r="C810" s="1"/>
      <c r="D810" s="217"/>
      <c r="E810" s="218"/>
      <c r="F810" s="216"/>
      <c r="G810" s="220"/>
    </row>
    <row r="811" spans="3:7" ht="12.75">
      <c r="C811" s="1"/>
      <c r="D811" s="217"/>
      <c r="E811" s="218"/>
      <c r="F811" s="216"/>
      <c r="G811" s="220"/>
    </row>
    <row r="812" spans="3:7" ht="12.75">
      <c r="C812" s="1"/>
      <c r="D812" s="217"/>
      <c r="E812" s="218"/>
      <c r="F812" s="216"/>
      <c r="G812" s="220"/>
    </row>
    <row r="813" spans="3:7" ht="12.75">
      <c r="C813" s="1"/>
      <c r="D813" s="217"/>
      <c r="E813" s="218"/>
      <c r="F813" s="216"/>
      <c r="G813" s="220"/>
    </row>
    <row r="814" spans="3:7" ht="12.75">
      <c r="C814" s="1"/>
      <c r="D814" s="217"/>
      <c r="E814" s="218"/>
      <c r="F814" s="216"/>
      <c r="G814" s="220"/>
    </row>
    <row r="815" spans="3:7" ht="12.75">
      <c r="C815" s="1"/>
      <c r="D815" s="217"/>
      <c r="E815" s="218"/>
      <c r="F815" s="216"/>
      <c r="G815" s="220"/>
    </row>
    <row r="816" spans="3:7" ht="12.75">
      <c r="C816" s="1"/>
      <c r="D816" s="217"/>
      <c r="E816" s="218"/>
      <c r="F816" s="216"/>
      <c r="G816" s="220"/>
    </row>
    <row r="817" spans="3:7" ht="12.75">
      <c r="C817" s="1"/>
      <c r="D817" s="217"/>
      <c r="E817" s="218"/>
      <c r="F817" s="216"/>
      <c r="G817" s="220"/>
    </row>
    <row r="818" spans="3:7" ht="12.75">
      <c r="C818" s="1"/>
      <c r="D818" s="217"/>
      <c r="E818" s="218"/>
      <c r="F818" s="216"/>
      <c r="G818" s="220"/>
    </row>
    <row r="819" spans="3:7" ht="12.75">
      <c r="C819" s="1"/>
      <c r="D819" s="217"/>
      <c r="E819" s="218"/>
      <c r="F819" s="216"/>
      <c r="G819" s="220"/>
    </row>
    <row r="820" spans="3:7" ht="12.75">
      <c r="C820" s="1"/>
      <c r="D820" s="217"/>
      <c r="E820" s="218"/>
      <c r="F820" s="216"/>
      <c r="G820" s="220"/>
    </row>
    <row r="821" spans="3:7" ht="12.75">
      <c r="C821" s="1"/>
      <c r="D821" s="217"/>
      <c r="E821" s="218"/>
      <c r="F821" s="216"/>
      <c r="G821" s="220"/>
    </row>
    <row r="822" spans="3:7" ht="12.75">
      <c r="C822" s="1"/>
      <c r="D822" s="217"/>
      <c r="E822" s="218"/>
      <c r="F822" s="216"/>
      <c r="G822" s="220"/>
    </row>
    <row r="823" spans="3:7" ht="12.75">
      <c r="C823" s="1"/>
      <c r="D823" s="217"/>
      <c r="E823" s="218"/>
      <c r="F823" s="216"/>
      <c r="G823" s="220"/>
    </row>
    <row r="824" spans="3:7" ht="12.75">
      <c r="C824" s="1"/>
      <c r="D824" s="217"/>
      <c r="E824" s="218"/>
      <c r="F824" s="216"/>
      <c r="G824" s="220"/>
    </row>
    <row r="825" spans="3:7" ht="12.75">
      <c r="C825" s="1"/>
      <c r="D825" s="217"/>
      <c r="E825" s="218"/>
      <c r="F825" s="216"/>
      <c r="G825" s="220"/>
    </row>
    <row r="826" spans="3:7" ht="12.75">
      <c r="C826" s="1"/>
      <c r="D826" s="217"/>
      <c r="E826" s="218"/>
      <c r="F826" s="216"/>
      <c r="G826" s="220"/>
    </row>
    <row r="827" spans="3:7" ht="12.75">
      <c r="C827" s="1"/>
      <c r="D827" s="217"/>
      <c r="E827" s="218"/>
      <c r="F827" s="216"/>
      <c r="G827" s="220"/>
    </row>
    <row r="828" spans="3:7" ht="12.75">
      <c r="C828" s="1"/>
      <c r="D828" s="217"/>
      <c r="E828" s="218"/>
      <c r="F828" s="216"/>
      <c r="G828" s="220"/>
    </row>
    <row r="829" spans="3:7" ht="12.75">
      <c r="C829" s="1"/>
      <c r="D829" s="217"/>
      <c r="E829" s="218"/>
      <c r="F829" s="216"/>
      <c r="G829" s="220"/>
    </row>
    <row r="830" spans="3:7" ht="12.75">
      <c r="C830" s="1"/>
      <c r="D830" s="217"/>
      <c r="E830" s="218"/>
      <c r="F830" s="216"/>
      <c r="G830" s="220"/>
    </row>
    <row r="831" spans="3:7" ht="12.75">
      <c r="C831" s="1"/>
      <c r="D831" s="217"/>
      <c r="E831" s="218"/>
      <c r="F831" s="216"/>
      <c r="G831" s="220"/>
    </row>
    <row r="832" spans="3:7" ht="12.75">
      <c r="C832" s="1"/>
      <c r="D832" s="217"/>
      <c r="E832" s="218"/>
      <c r="F832" s="216"/>
      <c r="G832" s="220"/>
    </row>
    <row r="833" spans="3:7" ht="12.75">
      <c r="C833" s="1"/>
      <c r="D833" s="217"/>
      <c r="E833" s="218"/>
      <c r="F833" s="216"/>
      <c r="G833" s="220"/>
    </row>
    <row r="834" spans="3:7" ht="12.75">
      <c r="C834" s="1"/>
      <c r="D834" s="217"/>
      <c r="E834" s="218"/>
      <c r="F834" s="218"/>
      <c r="G834" s="220"/>
    </row>
    <row r="835" spans="3:7" ht="12.75">
      <c r="C835" s="1"/>
      <c r="D835" s="217"/>
      <c r="E835" s="218"/>
      <c r="F835" s="218"/>
      <c r="G835" s="220"/>
    </row>
    <row r="836" spans="3:7" ht="12.75">
      <c r="C836" s="1"/>
      <c r="D836" s="217"/>
      <c r="E836" s="218"/>
      <c r="F836" s="218"/>
      <c r="G836" s="220"/>
    </row>
    <row r="837" spans="3:7" ht="12.75">
      <c r="C837" s="1"/>
      <c r="D837" s="217"/>
      <c r="E837" s="218"/>
      <c r="F837" s="218"/>
      <c r="G837" s="220"/>
    </row>
    <row r="838" spans="3:7" ht="12.75">
      <c r="C838" s="1"/>
      <c r="D838" s="217"/>
      <c r="E838" s="218"/>
      <c r="F838" s="218"/>
      <c r="G838" s="220"/>
    </row>
    <row r="839" spans="3:7" ht="12.75">
      <c r="C839" s="1"/>
      <c r="D839" s="217"/>
      <c r="E839" s="218"/>
      <c r="F839" s="218"/>
      <c r="G839" s="220"/>
    </row>
    <row r="840" spans="3:7" ht="12.75">
      <c r="C840" s="1"/>
      <c r="D840" s="217"/>
      <c r="E840" s="218"/>
      <c r="F840" s="218"/>
      <c r="G840" s="220"/>
    </row>
  </sheetData>
  <mergeCells count="210">
    <mergeCell ref="A326:A339"/>
    <mergeCell ref="B326:H326"/>
    <mergeCell ref="A340:C340"/>
    <mergeCell ref="A611:A613"/>
    <mergeCell ref="A549:A567"/>
    <mergeCell ref="A569:A580"/>
    <mergeCell ref="B396:H396"/>
    <mergeCell ref="A395:C395"/>
    <mergeCell ref="A427:C427"/>
    <mergeCell ref="A359:H359"/>
    <mergeCell ref="A56:C56"/>
    <mergeCell ref="A50:H50"/>
    <mergeCell ref="A51:A54"/>
    <mergeCell ref="B51:H51"/>
    <mergeCell ref="A55:C55"/>
    <mergeCell ref="A102:C102"/>
    <mergeCell ref="A602:A603"/>
    <mergeCell ref="B602:H602"/>
    <mergeCell ref="B205:H205"/>
    <mergeCell ref="A255:A256"/>
    <mergeCell ref="A321:C321"/>
    <mergeCell ref="A280:C280"/>
    <mergeCell ref="B255:H255"/>
    <mergeCell ref="B582:H582"/>
    <mergeCell ref="A210:H210"/>
    <mergeCell ref="B211:H211"/>
    <mergeCell ref="B235:H235"/>
    <mergeCell ref="B258:H258"/>
    <mergeCell ref="A258:A275"/>
    <mergeCell ref="A257:C257"/>
    <mergeCell ref="A624:E624"/>
    <mergeCell ref="A281:A306"/>
    <mergeCell ref="A307:C307"/>
    <mergeCell ref="B322:H322"/>
    <mergeCell ref="A352:A356"/>
    <mergeCell ref="A593:A594"/>
    <mergeCell ref="B590:H590"/>
    <mergeCell ref="A568:C568"/>
    <mergeCell ref="B464:H464"/>
    <mergeCell ref="A358:C358"/>
    <mergeCell ref="D631:G631"/>
    <mergeCell ref="A58:A65"/>
    <mergeCell ref="A605:A607"/>
    <mergeCell ref="A601:C601"/>
    <mergeCell ref="A598:A600"/>
    <mergeCell ref="B281:H281"/>
    <mergeCell ref="B448:H448"/>
    <mergeCell ref="A422:A426"/>
    <mergeCell ref="B352:H352"/>
    <mergeCell ref="A349:C349"/>
    <mergeCell ref="B360:H360"/>
    <mergeCell ref="B363:H363"/>
    <mergeCell ref="A363:A364"/>
    <mergeCell ref="A360:A361"/>
    <mergeCell ref="A362:C362"/>
    <mergeCell ref="A454:C454"/>
    <mergeCell ref="B428:H428"/>
    <mergeCell ref="A464:A465"/>
    <mergeCell ref="A467:A483"/>
    <mergeCell ref="A447:C447"/>
    <mergeCell ref="A466:C466"/>
    <mergeCell ref="A548:C548"/>
    <mergeCell ref="A519:A523"/>
    <mergeCell ref="A525:C525"/>
    <mergeCell ref="A524:C524"/>
    <mergeCell ref="B527:H527"/>
    <mergeCell ref="A527:A547"/>
    <mergeCell ref="A157:C157"/>
    <mergeCell ref="A199:C199"/>
    <mergeCell ref="B341:H341"/>
    <mergeCell ref="A164:A193"/>
    <mergeCell ref="A235:A253"/>
    <mergeCell ref="A204:H204"/>
    <mergeCell ref="B200:H200"/>
    <mergeCell ref="A208:C208"/>
    <mergeCell ref="A209:C209"/>
    <mergeCell ref="A203:C203"/>
    <mergeCell ref="A19:C19"/>
    <mergeCell ref="A68:C68"/>
    <mergeCell ref="B146:H146"/>
    <mergeCell ref="A95:H95"/>
    <mergeCell ref="A75:C75"/>
    <mergeCell ref="A70:A71"/>
    <mergeCell ref="A72:C72"/>
    <mergeCell ref="A73:A74"/>
    <mergeCell ref="A76:A92"/>
    <mergeCell ref="A20:H20"/>
    <mergeCell ref="A341:A348"/>
    <mergeCell ref="A94:C94"/>
    <mergeCell ref="B308:H308"/>
    <mergeCell ref="A115:C115"/>
    <mergeCell ref="B96:H96"/>
    <mergeCell ref="A116:A144"/>
    <mergeCell ref="A234:C234"/>
    <mergeCell ref="A211:A228"/>
    <mergeCell ref="A205:A207"/>
    <mergeCell ref="A200:A201"/>
    <mergeCell ref="C1:G2"/>
    <mergeCell ref="A15:A17"/>
    <mergeCell ref="A67:C67"/>
    <mergeCell ref="A21:A45"/>
    <mergeCell ref="A9:C9"/>
    <mergeCell ref="A7:A8"/>
    <mergeCell ref="A6:H6"/>
    <mergeCell ref="A12:A13"/>
    <mergeCell ref="B7:H7"/>
    <mergeCell ref="A14:C14"/>
    <mergeCell ref="A146:A148"/>
    <mergeCell ref="A163:H163"/>
    <mergeCell ref="A149:C149"/>
    <mergeCell ref="B150:H150"/>
    <mergeCell ref="A158:H158"/>
    <mergeCell ref="A159:A160"/>
    <mergeCell ref="A150:A155"/>
    <mergeCell ref="A156:C156"/>
    <mergeCell ref="A162:C162"/>
    <mergeCell ref="B159:H159"/>
    <mergeCell ref="A3:H3"/>
    <mergeCell ref="A18:C18"/>
    <mergeCell ref="B58:H58"/>
    <mergeCell ref="A49:C49"/>
    <mergeCell ref="B21:H21"/>
    <mergeCell ref="A57:H57"/>
    <mergeCell ref="A11:H11"/>
    <mergeCell ref="B12:H12"/>
    <mergeCell ref="B15:H15"/>
    <mergeCell ref="A10:C10"/>
    <mergeCell ref="A48:C48"/>
    <mergeCell ref="B70:H70"/>
    <mergeCell ref="B73:H73"/>
    <mergeCell ref="B116:H116"/>
    <mergeCell ref="B103:H103"/>
    <mergeCell ref="A103:A114"/>
    <mergeCell ref="A96:A101"/>
    <mergeCell ref="A69:H69"/>
    <mergeCell ref="A93:C93"/>
    <mergeCell ref="B76:H76"/>
    <mergeCell ref="A145:C145"/>
    <mergeCell ref="B164:G164"/>
    <mergeCell ref="A462:C462"/>
    <mergeCell ref="A325:C325"/>
    <mergeCell ref="A322:A324"/>
    <mergeCell ref="A357:C357"/>
    <mergeCell ref="A351:H351"/>
    <mergeCell ref="A194:C194"/>
    <mergeCell ref="A350:C350"/>
    <mergeCell ref="A195:C195"/>
    <mergeCell ref="A622:C622"/>
    <mergeCell ref="A621:C621"/>
    <mergeCell ref="A581:C581"/>
    <mergeCell ref="A582:A588"/>
    <mergeCell ref="A590:A591"/>
    <mergeCell ref="B611:H611"/>
    <mergeCell ref="A614:C614"/>
    <mergeCell ref="B615:H615"/>
    <mergeCell ref="A597:H597"/>
    <mergeCell ref="B593:H593"/>
    <mergeCell ref="B569:H569"/>
    <mergeCell ref="A589:C589"/>
    <mergeCell ref="A604:C604"/>
    <mergeCell ref="A610:H610"/>
    <mergeCell ref="A592:C592"/>
    <mergeCell ref="A596:C596"/>
    <mergeCell ref="B598:H598"/>
    <mergeCell ref="A609:C609"/>
    <mergeCell ref="A608:C608"/>
    <mergeCell ref="B605:H605"/>
    <mergeCell ref="B549:H549"/>
    <mergeCell ref="A365:C365"/>
    <mergeCell ref="B455:H455"/>
    <mergeCell ref="A485:A489"/>
    <mergeCell ref="A526:H526"/>
    <mergeCell ref="B491:H491"/>
    <mergeCell ref="A491:A517"/>
    <mergeCell ref="A448:A453"/>
    <mergeCell ref="A455:A460"/>
    <mergeCell ref="A484:C484"/>
    <mergeCell ref="A595:C595"/>
    <mergeCell ref="D630:G630"/>
    <mergeCell ref="A615:A620"/>
    <mergeCell ref="A490:C490"/>
    <mergeCell ref="B519:H519"/>
    <mergeCell ref="E626:F626"/>
    <mergeCell ref="D627:G627"/>
    <mergeCell ref="D628:G628"/>
    <mergeCell ref="D629:G629"/>
    <mergeCell ref="A623:C623"/>
    <mergeCell ref="A368:C368"/>
    <mergeCell ref="A428:A446"/>
    <mergeCell ref="B422:H422"/>
    <mergeCell ref="A370:H370"/>
    <mergeCell ref="A421:C421"/>
    <mergeCell ref="A396:A420"/>
    <mergeCell ref="B371:H371"/>
    <mergeCell ref="A371:A394"/>
    <mergeCell ref="A518:C518"/>
    <mergeCell ref="B485:H485"/>
    <mergeCell ref="A461:C461"/>
    <mergeCell ref="A463:H463"/>
    <mergeCell ref="B467:H467"/>
    <mergeCell ref="A161:C161"/>
    <mergeCell ref="A254:C254"/>
    <mergeCell ref="A369:C369"/>
    <mergeCell ref="A308:A320"/>
    <mergeCell ref="A197:A198"/>
    <mergeCell ref="B366:H366"/>
    <mergeCell ref="A366:A367"/>
    <mergeCell ref="A196:H196"/>
    <mergeCell ref="B197:H197"/>
    <mergeCell ref="A202:C202"/>
  </mergeCells>
  <hyperlinks>
    <hyperlink ref="D152" r:id="rId1" display="\\"/>
  </hyperlinks>
  <printOptions horizontalCentered="1"/>
  <pageMargins left="0.7874015748031497" right="0.7874015748031497" top="0.5905511811023623" bottom="0.3937007874015748" header="0.15748031496062992" footer="0.5118110236220472"/>
  <pageSetup firstPageNumber="76" useFirstPageNumber="1" horizontalDpi="300" verticalDpi="300" orientation="portrait" paperSize="9" scale="68" r:id="rId2"/>
  <headerFooter alignWithMargins="0">
    <oddFooter>&amp;R&amp;P</oddFooter>
  </headerFooter>
  <rowBreaks count="13" manualBreakCount="13">
    <brk id="49" max="7" man="1"/>
    <brk id="102" max="7" man="1"/>
    <brk id="157" max="7" man="1"/>
    <brk id="203" max="7" man="1"/>
    <brk id="257" max="7" man="1"/>
    <brk id="307" max="7" man="1"/>
    <brk id="369" max="7" man="1"/>
    <brk id="421" max="7" man="1"/>
    <brk id="484" max="7" man="1"/>
    <brk id="525" max="7" man="1"/>
    <brk id="581" max="7" man="1"/>
    <brk id="631" max="6" man="1"/>
    <brk id="6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B1">
      <selection activeCell="C3" sqref="C3"/>
    </sheetView>
  </sheetViews>
  <sheetFormatPr defaultColWidth="9.00390625" defaultRowHeight="12.75"/>
  <cols>
    <col min="1" max="1" width="8.25390625" style="0" customWidth="1"/>
    <col min="2" max="2" width="46.625" style="0" customWidth="1"/>
    <col min="3" max="3" width="13.875" style="0" customWidth="1"/>
    <col min="4" max="4" width="15.25390625" style="0" customWidth="1"/>
    <col min="5" max="5" width="10.875" style="0" customWidth="1"/>
    <col min="6" max="6" width="11.875" style="0" customWidth="1"/>
  </cols>
  <sheetData>
    <row r="1" spans="1:4" ht="13.5" thickBot="1">
      <c r="A1" s="305" t="s">
        <v>172</v>
      </c>
      <c r="B1" s="305"/>
      <c r="C1" s="305"/>
      <c r="D1" s="305"/>
    </row>
    <row r="2" spans="1:6" ht="39.75" thickBot="1" thickTop="1">
      <c r="A2" s="23" t="s">
        <v>16</v>
      </c>
      <c r="B2" s="24" t="s">
        <v>169</v>
      </c>
      <c r="C2" s="52" t="s">
        <v>221</v>
      </c>
      <c r="D2" s="25" t="s">
        <v>222</v>
      </c>
      <c r="E2" s="23" t="s">
        <v>198</v>
      </c>
      <c r="F2" s="53" t="s">
        <v>199</v>
      </c>
    </row>
    <row r="3" spans="1:6" ht="24.75" thickTop="1">
      <c r="A3" s="54">
        <v>2310</v>
      </c>
      <c r="B3" s="55" t="s">
        <v>137</v>
      </c>
      <c r="C3" s="58"/>
      <c r="D3" s="58" t="e">
        <f>a!G117+a!#REF!</f>
        <v>#REF!</v>
      </c>
      <c r="E3" s="64" t="e">
        <f>D3/C3</f>
        <v>#REF!</v>
      </c>
      <c r="F3" s="65" t="e">
        <f aca="true" t="shared" si="0" ref="F3:F34">D3/$D$78</f>
        <v>#REF!</v>
      </c>
    </row>
    <row r="4" spans="1:6" ht="12.75">
      <c r="A4" s="27">
        <v>2320</v>
      </c>
      <c r="B4" s="14" t="s">
        <v>102</v>
      </c>
      <c r="C4" s="39">
        <f>a!D282+a!D372+a!D425</f>
        <v>431100</v>
      </c>
      <c r="D4" s="39">
        <f>a!G282+a!G372+a!G425</f>
        <v>456581</v>
      </c>
      <c r="E4" s="67">
        <f aca="true" t="shared" si="1" ref="E4:E77">D4/C4</f>
        <v>1.0591069357457668</v>
      </c>
      <c r="F4" s="75" t="e">
        <f t="shared" si="0"/>
        <v>#REF!</v>
      </c>
    </row>
    <row r="5" spans="1:6" ht="36">
      <c r="A5" s="27">
        <v>2580</v>
      </c>
      <c r="B5" s="11" t="s">
        <v>107</v>
      </c>
      <c r="C5" s="41">
        <f>a!D397</f>
        <v>1159903</v>
      </c>
      <c r="D5" s="41">
        <f>a!G397</f>
        <v>1072120</v>
      </c>
      <c r="E5" s="67">
        <f t="shared" si="1"/>
        <v>0.9243186714751147</v>
      </c>
      <c r="F5" s="75" t="e">
        <f t="shared" si="0"/>
        <v>#REF!</v>
      </c>
    </row>
    <row r="6" spans="1:6" ht="12.75">
      <c r="A6" s="27">
        <v>2630</v>
      </c>
      <c r="B6" s="11" t="s">
        <v>227</v>
      </c>
      <c r="C6" s="41"/>
      <c r="D6" s="41"/>
      <c r="E6" s="67" t="e">
        <f t="shared" si="1"/>
        <v>#DIV/0!</v>
      </c>
      <c r="F6" s="75" t="e">
        <f t="shared" si="0"/>
        <v>#REF!</v>
      </c>
    </row>
    <row r="7" spans="1:6" ht="24">
      <c r="A7" s="27">
        <v>2820</v>
      </c>
      <c r="B7" s="11" t="s">
        <v>223</v>
      </c>
      <c r="C7" s="41" t="e">
        <f>a!#REF!+a!D612</f>
        <v>#REF!</v>
      </c>
      <c r="D7" s="41" t="e">
        <f>a!#REF!+a!G612</f>
        <v>#REF!</v>
      </c>
      <c r="E7" s="67" t="e">
        <f t="shared" si="1"/>
        <v>#REF!</v>
      </c>
      <c r="F7" s="75" t="e">
        <f t="shared" si="0"/>
        <v>#REF!</v>
      </c>
    </row>
    <row r="8" spans="1:6" ht="25.5">
      <c r="A8" s="27">
        <v>2910</v>
      </c>
      <c r="B8" s="50" t="s">
        <v>225</v>
      </c>
      <c r="C8" s="41"/>
      <c r="D8" s="41"/>
      <c r="E8" s="67" t="e">
        <f t="shared" si="1"/>
        <v>#DIV/0!</v>
      </c>
      <c r="F8" s="75" t="e">
        <f t="shared" si="0"/>
        <v>#REF!</v>
      </c>
    </row>
    <row r="9" spans="1:6" ht="12.75">
      <c r="A9" s="27">
        <v>3020</v>
      </c>
      <c r="B9" s="14" t="s">
        <v>132</v>
      </c>
      <c r="C9" s="41">
        <f>a!D22+a!D212+a!D259+a!D528+a!D550+a!D118+a!D283+a!D236+a!D309+a!D429+a!D398</f>
        <v>171716</v>
      </c>
      <c r="D9" s="41">
        <f>a!G22+a!G212+a!G259+a!G528+a!G550+a!G118+a!G283+a!G236+a!G309+a!G429+a!G398</f>
        <v>168123</v>
      </c>
      <c r="E9" s="67">
        <f t="shared" si="1"/>
        <v>0.9790759160474272</v>
      </c>
      <c r="F9" s="75" t="e">
        <f t="shared" si="0"/>
        <v>#REF!</v>
      </c>
    </row>
    <row r="10" spans="1:6" ht="12.75">
      <c r="A10" s="27">
        <v>3030</v>
      </c>
      <c r="B10" s="11" t="s">
        <v>74</v>
      </c>
      <c r="C10" s="41" t="e">
        <f>a!D104+a!D324+a!#REF!+a!D13+a!#REF!</f>
        <v>#REF!</v>
      </c>
      <c r="D10" s="41" t="e">
        <f>a!G104+a!G324+a!#REF!+a!G13+a!#REF!</f>
        <v>#REF!</v>
      </c>
      <c r="E10" s="67" t="e">
        <f t="shared" si="1"/>
        <v>#REF!</v>
      </c>
      <c r="F10" s="75" t="e">
        <f t="shared" si="0"/>
        <v>#REF!</v>
      </c>
    </row>
    <row r="11" spans="1:6" ht="12.75">
      <c r="A11" s="27">
        <v>3070</v>
      </c>
      <c r="B11" s="11" t="s">
        <v>202</v>
      </c>
      <c r="C11" s="41">
        <f>a!D165</f>
        <v>122638</v>
      </c>
      <c r="D11" s="41">
        <f>a!G165</f>
        <v>160900</v>
      </c>
      <c r="E11" s="67">
        <f t="shared" si="1"/>
        <v>1.3119913892920627</v>
      </c>
      <c r="F11" s="75" t="e">
        <f t="shared" si="0"/>
        <v>#REF!</v>
      </c>
    </row>
    <row r="12" spans="1:6" ht="12.75">
      <c r="A12" s="27">
        <v>3110</v>
      </c>
      <c r="B12" s="11" t="s">
        <v>108</v>
      </c>
      <c r="C12" s="41">
        <f>a!D374+a!D426</f>
        <v>50400</v>
      </c>
      <c r="D12" s="41">
        <f>a!G374+a!G426</f>
        <v>56434</v>
      </c>
      <c r="E12" s="67">
        <f t="shared" si="1"/>
        <v>1.1197222222222223</v>
      </c>
      <c r="F12" s="75" t="e">
        <f t="shared" si="0"/>
        <v>#REF!</v>
      </c>
    </row>
    <row r="13" spans="1:6" ht="12.75">
      <c r="A13" s="27">
        <v>3118</v>
      </c>
      <c r="B13" s="11" t="s">
        <v>108</v>
      </c>
      <c r="C13" s="41">
        <f>a!D520</f>
        <v>8550</v>
      </c>
      <c r="D13" s="41">
        <f>a!G520</f>
        <v>0</v>
      </c>
      <c r="E13" s="67"/>
      <c r="F13" s="75" t="e">
        <f t="shared" si="0"/>
        <v>#REF!</v>
      </c>
    </row>
    <row r="14" spans="1:6" ht="12.75">
      <c r="A14" s="27">
        <v>3119</v>
      </c>
      <c r="B14" s="11" t="s">
        <v>108</v>
      </c>
      <c r="C14" s="41" t="e">
        <f>a!#REF!</f>
        <v>#REF!</v>
      </c>
      <c r="D14" s="41" t="e">
        <f>a!#REF!</f>
        <v>#REF!</v>
      </c>
      <c r="E14" s="67"/>
      <c r="F14" s="75" t="e">
        <f t="shared" si="0"/>
        <v>#REF!</v>
      </c>
    </row>
    <row r="15" spans="1:6" ht="12.75">
      <c r="A15" s="27">
        <v>3210</v>
      </c>
      <c r="B15" s="50" t="s">
        <v>216</v>
      </c>
      <c r="C15" s="41"/>
      <c r="D15" s="41"/>
      <c r="E15" s="67" t="e">
        <f t="shared" si="1"/>
        <v>#DIV/0!</v>
      </c>
      <c r="F15" s="75" t="e">
        <f t="shared" si="0"/>
        <v>#REF!</v>
      </c>
    </row>
    <row r="16" spans="1:6" ht="12.75">
      <c r="A16" s="27">
        <v>3218</v>
      </c>
      <c r="B16" s="50" t="s">
        <v>216</v>
      </c>
      <c r="C16" s="41">
        <f>a!D353</f>
        <v>14700</v>
      </c>
      <c r="D16" s="41">
        <f>a!G353</f>
        <v>0</v>
      </c>
      <c r="E16" s="67">
        <f t="shared" si="1"/>
        <v>0</v>
      </c>
      <c r="F16" s="75" t="e">
        <f t="shared" si="0"/>
        <v>#REF!</v>
      </c>
    </row>
    <row r="17" spans="1:6" ht="12.75">
      <c r="A17" s="27">
        <v>3219</v>
      </c>
      <c r="B17" s="50" t="s">
        <v>216</v>
      </c>
      <c r="C17" s="41">
        <f>a!D354</f>
        <v>4900</v>
      </c>
      <c r="D17" s="41">
        <f>a!G354</f>
        <v>0</v>
      </c>
      <c r="E17" s="67">
        <f t="shared" si="1"/>
        <v>0</v>
      </c>
      <c r="F17" s="75" t="e">
        <f t="shared" si="0"/>
        <v>#REF!</v>
      </c>
    </row>
    <row r="18" spans="1:6" ht="12.75">
      <c r="A18" s="27">
        <v>3240</v>
      </c>
      <c r="B18" s="11" t="s">
        <v>112</v>
      </c>
      <c r="C18" s="39">
        <f>a!D570</f>
        <v>69600</v>
      </c>
      <c r="D18" s="39">
        <f>a!G570</f>
        <v>24000</v>
      </c>
      <c r="E18" s="67">
        <f t="shared" si="1"/>
        <v>0.3448275862068966</v>
      </c>
      <c r="F18" s="75" t="e">
        <f t="shared" si="0"/>
        <v>#REF!</v>
      </c>
    </row>
    <row r="19" spans="1:6" ht="12.75">
      <c r="A19" s="27">
        <v>3248</v>
      </c>
      <c r="B19" s="11" t="s">
        <v>112</v>
      </c>
      <c r="C19" s="39">
        <f>a!D571</f>
        <v>88790</v>
      </c>
      <c r="D19" s="39">
        <f>a!G571</f>
        <v>0</v>
      </c>
      <c r="E19" s="67">
        <f t="shared" si="1"/>
        <v>0</v>
      </c>
      <c r="F19" s="75" t="e">
        <f t="shared" si="0"/>
        <v>#REF!</v>
      </c>
    </row>
    <row r="20" spans="1:6" ht="12.75">
      <c r="A20" s="27">
        <v>3249</v>
      </c>
      <c r="B20" s="11" t="s">
        <v>112</v>
      </c>
      <c r="C20" s="39">
        <f>a!D572</f>
        <v>41687</v>
      </c>
      <c r="D20" s="39">
        <f>a!G572</f>
        <v>0</v>
      </c>
      <c r="E20" s="67">
        <f t="shared" si="1"/>
        <v>0</v>
      </c>
      <c r="F20" s="75" t="e">
        <f t="shared" si="0"/>
        <v>#REF!</v>
      </c>
    </row>
    <row r="21" spans="1:6" ht="12.75">
      <c r="A21" s="28">
        <v>4010</v>
      </c>
      <c r="B21" s="11" t="s">
        <v>62</v>
      </c>
      <c r="C21" s="41">
        <f>a!D23+a!D77+a!D97+a!D105+a!D119+a!D166+a!D213+a!D237+a!D260+a!D399+a!D529+a!D551+a!D284+a!D492+a!D310+a!D430+a!D469+a!D583</f>
        <v>13258998</v>
      </c>
      <c r="D21" s="41">
        <f>a!G23+a!G77+a!G97+a!G105+a!G119+a!G166+a!G213+a!G237+a!G260+a!G399+a!G529+a!G551+a!G284+a!G492+a!G310+a!G430+a!G469+a!G583</f>
        <v>13822654</v>
      </c>
      <c r="E21" s="67">
        <f t="shared" si="1"/>
        <v>1.0425112063520938</v>
      </c>
      <c r="F21" s="75" t="e">
        <f t="shared" si="0"/>
        <v>#REF!</v>
      </c>
    </row>
    <row r="22" spans="1:6" ht="12.75">
      <c r="A22" s="28">
        <v>4018</v>
      </c>
      <c r="B22" s="11" t="s">
        <v>62</v>
      </c>
      <c r="C22" s="41">
        <f>a!D493</f>
        <v>24631</v>
      </c>
      <c r="D22" s="41">
        <f>a!G493</f>
        <v>0</v>
      </c>
      <c r="E22" s="67">
        <f t="shared" si="1"/>
        <v>0</v>
      </c>
      <c r="F22" s="75" t="e">
        <f t="shared" si="0"/>
        <v>#REF!</v>
      </c>
    </row>
    <row r="23" spans="1:6" ht="12.75">
      <c r="A23" s="28">
        <v>4019</v>
      </c>
      <c r="B23" s="11" t="s">
        <v>62</v>
      </c>
      <c r="C23" s="41">
        <f>a!D494</f>
        <v>9039</v>
      </c>
      <c r="D23" s="41">
        <f>a!G494</f>
        <v>0</v>
      </c>
      <c r="E23" s="67">
        <f t="shared" si="1"/>
        <v>0</v>
      </c>
      <c r="F23" s="75" t="e">
        <f t="shared" si="0"/>
        <v>#REF!</v>
      </c>
    </row>
    <row r="24" spans="1:6" ht="12.75">
      <c r="A24" s="28">
        <v>4020</v>
      </c>
      <c r="B24" s="11" t="s">
        <v>158</v>
      </c>
      <c r="C24" s="41">
        <f>a!D78</f>
        <v>75246</v>
      </c>
      <c r="D24" s="41">
        <f>a!G78</f>
        <v>120000</v>
      </c>
      <c r="E24" s="67">
        <f t="shared" si="1"/>
        <v>1.5947691571645004</v>
      </c>
      <c r="F24" s="75" t="e">
        <f t="shared" si="0"/>
        <v>#REF!</v>
      </c>
    </row>
    <row r="25" spans="1:6" ht="12.75">
      <c r="A25" s="28">
        <v>4040</v>
      </c>
      <c r="B25" s="11" t="s">
        <v>82</v>
      </c>
      <c r="C25" s="41">
        <f>a!D24+a!D79+a!D98+a!D106+a!D120+a!D168+a!D214+a!D238+a!D261+a!D400+a!D530+a!D552+a!D285+a!D495+a!D311+a!D431+a!D470</f>
        <v>980424</v>
      </c>
      <c r="D25" s="41">
        <f>a!G24+a!G79+a!G98+a!G106+a!G120+a!G168+a!G214+a!G238+a!G261+a!G400+a!G530+a!G552+a!G285+a!G495+a!G311+a!G431+a!G470</f>
        <v>1083515</v>
      </c>
      <c r="E25" s="67">
        <f t="shared" si="1"/>
        <v>1.1051494047473338</v>
      </c>
      <c r="F25" s="75" t="e">
        <f t="shared" si="0"/>
        <v>#REF!</v>
      </c>
    </row>
    <row r="26" spans="1:6" ht="12.75">
      <c r="A26" s="28">
        <v>4048</v>
      </c>
      <c r="B26" s="11" t="s">
        <v>82</v>
      </c>
      <c r="C26" s="41">
        <f>a!D496</f>
        <v>1961</v>
      </c>
      <c r="D26" s="41">
        <f>a!G496</f>
        <v>0</v>
      </c>
      <c r="E26" s="67"/>
      <c r="F26" s="75" t="e">
        <f t="shared" si="0"/>
        <v>#REF!</v>
      </c>
    </row>
    <row r="27" spans="1:6" ht="12.75">
      <c r="A27" s="28">
        <v>4049</v>
      </c>
      <c r="B27" s="11" t="s">
        <v>82</v>
      </c>
      <c r="C27" s="41">
        <f>a!D497</f>
        <v>720</v>
      </c>
      <c r="D27" s="41">
        <f>a!G497</f>
        <v>0</v>
      </c>
      <c r="E27" s="67"/>
      <c r="F27" s="75" t="e">
        <f t="shared" si="0"/>
        <v>#REF!</v>
      </c>
    </row>
    <row r="28" spans="1:6" ht="12.75">
      <c r="A28" s="28">
        <v>4050</v>
      </c>
      <c r="B28" s="11" t="s">
        <v>86</v>
      </c>
      <c r="C28" s="41">
        <f>a!D169</f>
        <v>1351129</v>
      </c>
      <c r="D28" s="41">
        <f>a!G169</f>
        <v>1581360</v>
      </c>
      <c r="E28" s="67">
        <f t="shared" si="1"/>
        <v>1.1703989774477492</v>
      </c>
      <c r="F28" s="75" t="e">
        <f t="shared" si="0"/>
        <v>#REF!</v>
      </c>
    </row>
    <row r="29" spans="1:6" ht="12.75">
      <c r="A29" s="28">
        <v>4060</v>
      </c>
      <c r="B29" s="11" t="s">
        <v>87</v>
      </c>
      <c r="C29" s="41">
        <f>a!D170</f>
        <v>105600</v>
      </c>
      <c r="D29" s="41">
        <f>a!G170</f>
        <v>80400</v>
      </c>
      <c r="E29" s="67">
        <f t="shared" si="1"/>
        <v>0.7613636363636364</v>
      </c>
      <c r="F29" s="75" t="e">
        <f t="shared" si="0"/>
        <v>#REF!</v>
      </c>
    </row>
    <row r="30" spans="1:6" ht="12.75">
      <c r="A30" s="28">
        <v>4070</v>
      </c>
      <c r="B30" s="11" t="s">
        <v>88</v>
      </c>
      <c r="C30" s="41">
        <f>a!D171</f>
        <v>102401</v>
      </c>
      <c r="D30" s="41">
        <f>a!G171</f>
        <v>131730</v>
      </c>
      <c r="E30" s="67">
        <f t="shared" si="1"/>
        <v>1.2864132186209118</v>
      </c>
      <c r="F30" s="75" t="e">
        <f t="shared" si="0"/>
        <v>#REF!</v>
      </c>
    </row>
    <row r="31" spans="1:6" ht="12.75">
      <c r="A31" s="28">
        <v>4110</v>
      </c>
      <c r="B31" s="11" t="s">
        <v>81</v>
      </c>
      <c r="C31" s="41" t="e">
        <f>a!D25+a!D80+a!D99+a!D107+a!D121+a!D172+a!D215+a!D239+a!D262+a!D401+a!D531+a!D553+a!D286+a!D498+a!D312+a!D432+a!D449+a!D471+a!D584+a!#REF!</f>
        <v>#REF!</v>
      </c>
      <c r="D31" s="41" t="e">
        <f>a!G25+a!G80+a!G99+a!G107+a!G121+a!G172+a!G215+a!G239+a!G262+a!G401+a!G531+a!G553+a!G286+a!G498+a!G312+a!G432+a!G449+a!G471+a!G584+a!#REF!</f>
        <v>#REF!</v>
      </c>
      <c r="E31" s="67" t="e">
        <f t="shared" si="1"/>
        <v>#REF!</v>
      </c>
      <c r="F31" s="75" t="e">
        <f t="shared" si="0"/>
        <v>#REF!</v>
      </c>
    </row>
    <row r="32" spans="1:6" ht="12.75">
      <c r="A32" s="28">
        <v>4118</v>
      </c>
      <c r="B32" s="11" t="s">
        <v>81</v>
      </c>
      <c r="C32" s="41" t="e">
        <f>a!D499+a!#REF!+a!D573</f>
        <v>#REF!</v>
      </c>
      <c r="D32" s="41" t="e">
        <f>a!G499+a!#REF!+a!G573</f>
        <v>#REF!</v>
      </c>
      <c r="E32" s="67" t="e">
        <f t="shared" si="1"/>
        <v>#REF!</v>
      </c>
      <c r="F32" s="75" t="e">
        <f t="shared" si="0"/>
        <v>#REF!</v>
      </c>
    </row>
    <row r="33" spans="1:6" ht="12.75">
      <c r="A33" s="28">
        <v>4119</v>
      </c>
      <c r="B33" s="11" t="s">
        <v>81</v>
      </c>
      <c r="C33" s="41">
        <f>a!D500+a!D574</f>
        <v>2007</v>
      </c>
      <c r="D33" s="41">
        <f>a!G500+a!G574</f>
        <v>0</v>
      </c>
      <c r="E33" s="67">
        <f t="shared" si="1"/>
        <v>0</v>
      </c>
      <c r="F33" s="75" t="e">
        <f t="shared" si="0"/>
        <v>#REF!</v>
      </c>
    </row>
    <row r="34" spans="1:6" ht="12.75">
      <c r="A34" s="28">
        <v>4120</v>
      </c>
      <c r="B34" s="11" t="s">
        <v>80</v>
      </c>
      <c r="C34" s="41" t="e">
        <f>a!D26+a!D81+a!D100+a!D108+a!D122+a!D173+a!D216+a!D240+a!D263+a!D287+a!D313+a!#REF!+a!D402+a!D433+a!D450+a!D472+a!D501+a!D532+a!D554+a!D585</f>
        <v>#REF!</v>
      </c>
      <c r="D34" s="41" t="e">
        <f>a!G26+a!G81+a!G100+a!G108+a!G122+a!G173+a!G216+a!G240+a!G263+a!G287+a!G313+a!#REF!+a!G402+a!G433+a!G450+a!G472+a!G501+a!G532+a!G554+a!G585</f>
        <v>#REF!</v>
      </c>
      <c r="E34" s="67" t="e">
        <f t="shared" si="1"/>
        <v>#REF!</v>
      </c>
      <c r="F34" s="75" t="e">
        <f t="shared" si="0"/>
        <v>#REF!</v>
      </c>
    </row>
    <row r="35" spans="1:6" ht="12.75">
      <c r="A35" s="28">
        <v>4128</v>
      </c>
      <c r="B35" s="11" t="s">
        <v>80</v>
      </c>
      <c r="C35" s="41">
        <f>a!D502+a!D575</f>
        <v>754</v>
      </c>
      <c r="D35" s="41">
        <f>a!G502+a!G575</f>
        <v>0</v>
      </c>
      <c r="E35" s="67">
        <f t="shared" si="1"/>
        <v>0</v>
      </c>
      <c r="F35" s="75" t="e">
        <f aca="true" t="shared" si="2" ref="F35:F55">D35/$D$78</f>
        <v>#REF!</v>
      </c>
    </row>
    <row r="36" spans="1:6" ht="12.75">
      <c r="A36" s="28">
        <v>4129</v>
      </c>
      <c r="B36" s="11" t="s">
        <v>80</v>
      </c>
      <c r="C36" s="41">
        <f>a!D503+a!D576</f>
        <v>287</v>
      </c>
      <c r="D36" s="41">
        <f>a!G503+a!G576</f>
        <v>0</v>
      </c>
      <c r="E36" s="67">
        <f t="shared" si="1"/>
        <v>0</v>
      </c>
      <c r="F36" s="75" t="e">
        <f t="shared" si="2"/>
        <v>#REF!</v>
      </c>
    </row>
    <row r="37" spans="1:6" ht="12.75">
      <c r="A37" s="28">
        <v>4130</v>
      </c>
      <c r="B37" s="14" t="s">
        <v>81</v>
      </c>
      <c r="C37" s="41">
        <f>a!D367</f>
        <v>880000</v>
      </c>
      <c r="D37" s="41">
        <f>a!G367</f>
        <v>679000</v>
      </c>
      <c r="E37" s="67">
        <f t="shared" si="1"/>
        <v>0.7715909090909091</v>
      </c>
      <c r="F37" s="75" t="e">
        <f t="shared" si="2"/>
        <v>#REF!</v>
      </c>
    </row>
    <row r="38" spans="1:6" ht="12.75">
      <c r="A38" s="28">
        <v>4140</v>
      </c>
      <c r="B38" s="11" t="s">
        <v>83</v>
      </c>
      <c r="C38" s="39">
        <f>a!D288+a!D124</f>
        <v>7000</v>
      </c>
      <c r="D38" s="39">
        <f>a!G288+a!G124</f>
        <v>31900</v>
      </c>
      <c r="E38" s="67">
        <f t="shared" si="1"/>
        <v>4.557142857142857</v>
      </c>
      <c r="F38" s="75" t="e">
        <f t="shared" si="2"/>
        <v>#REF!</v>
      </c>
    </row>
    <row r="39" spans="1:6" ht="24">
      <c r="A39" s="28">
        <v>4160</v>
      </c>
      <c r="B39" s="46" t="s">
        <v>218</v>
      </c>
      <c r="C39" s="39" t="e">
        <f>a!#REF!</f>
        <v>#REF!</v>
      </c>
      <c r="D39" s="39" t="e">
        <f>a!#REF!</f>
        <v>#REF!</v>
      </c>
      <c r="E39" s="67" t="e">
        <f t="shared" si="1"/>
        <v>#REF!</v>
      </c>
      <c r="F39" s="75" t="e">
        <f t="shared" si="2"/>
        <v>#REF!</v>
      </c>
    </row>
    <row r="40" spans="1:6" ht="12.75">
      <c r="A40" s="28">
        <v>4170</v>
      </c>
      <c r="B40" s="11" t="s">
        <v>192</v>
      </c>
      <c r="C40" s="39" t="e">
        <f>a!D217+a!D264+a!D289+a!D451+a!D473+a!D533+a!D59+a!#REF!+a!D123+a!D174+a!#REF!+a!D616+a!D109</f>
        <v>#REF!</v>
      </c>
      <c r="D40" s="39" t="e">
        <f>a!G217+a!G264+a!G289+a!G451+a!G473+a!G533+a!G59+a!#REF!+a!G123+a!G174+a!#REF!+a!G616+a!G109</f>
        <v>#REF!</v>
      </c>
      <c r="E40" s="67" t="e">
        <f t="shared" si="1"/>
        <v>#REF!</v>
      </c>
      <c r="F40" s="75" t="e">
        <f t="shared" si="2"/>
        <v>#REF!</v>
      </c>
    </row>
    <row r="41" spans="1:6" ht="12.75">
      <c r="A41" s="28">
        <v>4178</v>
      </c>
      <c r="B41" s="11" t="s">
        <v>192</v>
      </c>
      <c r="C41" s="39">
        <f>a!D577+a!D456</f>
        <v>54478</v>
      </c>
      <c r="D41" s="39">
        <f>a!G577+a!G456</f>
        <v>0</v>
      </c>
      <c r="E41" s="67">
        <f t="shared" si="1"/>
        <v>0</v>
      </c>
      <c r="F41" s="75" t="e">
        <f t="shared" si="2"/>
        <v>#REF!</v>
      </c>
    </row>
    <row r="42" spans="1:6" ht="12.75">
      <c r="A42" s="28">
        <v>4179</v>
      </c>
      <c r="B42" s="11" t="s">
        <v>192</v>
      </c>
      <c r="C42" s="39">
        <f>a!D578</f>
        <v>1957</v>
      </c>
      <c r="D42" s="39">
        <f>a!G578</f>
        <v>0</v>
      </c>
      <c r="E42" s="67">
        <f t="shared" si="1"/>
        <v>0</v>
      </c>
      <c r="F42" s="75" t="e">
        <f t="shared" si="2"/>
        <v>#REF!</v>
      </c>
    </row>
    <row r="43" spans="1:6" ht="12.75">
      <c r="A43" s="28">
        <v>4180</v>
      </c>
      <c r="B43" s="11" t="s">
        <v>203</v>
      </c>
      <c r="C43" s="39">
        <f>a!D175</f>
        <v>75738</v>
      </c>
      <c r="D43" s="39">
        <f>a!G175</f>
        <v>95400</v>
      </c>
      <c r="E43" s="67">
        <f t="shared" si="1"/>
        <v>1.2596054820565634</v>
      </c>
      <c r="F43" s="75" t="e">
        <f t="shared" si="2"/>
        <v>#REF!</v>
      </c>
    </row>
    <row r="44" spans="1:6" ht="12.75">
      <c r="A44" s="28">
        <v>4190</v>
      </c>
      <c r="B44" s="11" t="s">
        <v>197</v>
      </c>
      <c r="C44" s="39">
        <f>a!D27</f>
        <v>32300</v>
      </c>
      <c r="D44" s="39">
        <f>a!G27</f>
        <v>34600</v>
      </c>
      <c r="E44" s="67">
        <f t="shared" si="1"/>
        <v>1.0712074303405572</v>
      </c>
      <c r="F44" s="75" t="e">
        <f t="shared" si="2"/>
        <v>#REF!</v>
      </c>
    </row>
    <row r="45" spans="1:6" ht="12.75">
      <c r="A45" s="28">
        <v>4210</v>
      </c>
      <c r="B45" s="11" t="s">
        <v>64</v>
      </c>
      <c r="C45" s="39" t="e">
        <f>a!D28+a!D62+a!D82+a!#REF!+a!D110+a!D125+a!D147+a!#REF!+a!D176+a!D218+a!D242+a!D265+a!D290+a!D314+a!#REF!+a!D380+a!D403+a!D435+a!D474+a!D486+a!D505+a!D534+a!D555+a!D586+a!D606+a!D617</f>
        <v>#REF!</v>
      </c>
      <c r="D45" s="39" t="e">
        <f>a!G28+a!G62+a!G82+a!#REF!+a!G110+a!G125+a!G147+a!#REF!+a!G176+a!G218+a!G242+a!G265+a!G290+a!G314+a!#REF!+a!G380+a!G403+a!G435+a!G474+a!G486+a!G505+a!G534+a!G555+a!G586+a!G606+a!G617</f>
        <v>#REF!</v>
      </c>
      <c r="E45" s="67" t="e">
        <f t="shared" si="1"/>
        <v>#REF!</v>
      </c>
      <c r="F45" s="75" t="e">
        <f t="shared" si="2"/>
        <v>#REF!</v>
      </c>
    </row>
    <row r="46" spans="1:6" ht="12.75">
      <c r="A46" s="28">
        <v>4218</v>
      </c>
      <c r="B46" s="11" t="s">
        <v>64</v>
      </c>
      <c r="C46" s="39" t="e">
        <f>a!#REF!+a!D355+a!D457+a!#REF!+a!D579</f>
        <v>#REF!</v>
      </c>
      <c r="D46" s="39" t="e">
        <f>a!#REF!+a!G355+a!G457+a!#REF!+a!G579</f>
        <v>#REF!</v>
      </c>
      <c r="E46" s="67" t="e">
        <f t="shared" si="1"/>
        <v>#REF!</v>
      </c>
      <c r="F46" s="75" t="e">
        <f t="shared" si="2"/>
        <v>#REF!</v>
      </c>
    </row>
    <row r="47" spans="1:6" ht="12.75">
      <c r="A47" s="28">
        <v>4219</v>
      </c>
      <c r="B47" s="11" t="s">
        <v>64</v>
      </c>
      <c r="C47" s="39" t="e">
        <f>a!D356+a!#REF!+a!D580</f>
        <v>#REF!</v>
      </c>
      <c r="D47" s="39" t="e">
        <f>a!G356+a!#REF!+a!G580</f>
        <v>#REF!</v>
      </c>
      <c r="E47" s="67" t="e">
        <f t="shared" si="1"/>
        <v>#REF!</v>
      </c>
      <c r="F47" s="75" t="e">
        <f t="shared" si="2"/>
        <v>#REF!</v>
      </c>
    </row>
    <row r="48" spans="1:6" ht="12.75">
      <c r="A48" s="28">
        <v>4220</v>
      </c>
      <c r="B48" s="11" t="s">
        <v>90</v>
      </c>
      <c r="C48" s="39" t="e">
        <f>a!D404+a!#REF!+a!#REF!</f>
        <v>#REF!</v>
      </c>
      <c r="D48" s="39" t="e">
        <f>a!G404+a!#REF!+a!#REF!</f>
        <v>#REF!</v>
      </c>
      <c r="E48" s="67" t="e">
        <f t="shared" si="1"/>
        <v>#REF!</v>
      </c>
      <c r="F48" s="75" t="e">
        <f t="shared" si="2"/>
        <v>#REF!</v>
      </c>
    </row>
    <row r="49" spans="1:6" ht="12.75">
      <c r="A49" s="28">
        <v>4228</v>
      </c>
      <c r="B49" s="11" t="s">
        <v>90</v>
      </c>
      <c r="C49" s="39">
        <f>a!D458</f>
        <v>3800</v>
      </c>
      <c r="D49" s="39">
        <f>a!G458</f>
        <v>0</v>
      </c>
      <c r="E49" s="67">
        <f t="shared" si="1"/>
        <v>0</v>
      </c>
      <c r="F49" s="75" t="e">
        <f t="shared" si="2"/>
        <v>#REF!</v>
      </c>
    </row>
    <row r="50" spans="1:6" ht="12.75">
      <c r="A50" s="28">
        <v>4230</v>
      </c>
      <c r="B50" s="11" t="s">
        <v>89</v>
      </c>
      <c r="C50" s="41">
        <f>a!D177+a!D219+a!D405+a!D126+a!D556+a!D291</f>
        <v>30500</v>
      </c>
      <c r="D50" s="41">
        <f>a!G177+a!G219+a!G405+a!G126+a!G556+a!G291</f>
        <v>31700</v>
      </c>
      <c r="E50" s="67">
        <f t="shared" si="1"/>
        <v>1.039344262295082</v>
      </c>
      <c r="F50" s="75" t="e">
        <f t="shared" si="2"/>
        <v>#REF!</v>
      </c>
    </row>
    <row r="51" spans="1:6" ht="12.75">
      <c r="A51" s="28">
        <v>4240</v>
      </c>
      <c r="B51" s="11" t="s">
        <v>97</v>
      </c>
      <c r="C51" s="41" t="e">
        <f>a!#REF!+a!D266+a!D535+a!D557+a!D292+a!D243+a!D600+a!D315+a!#REF!</f>
        <v>#REF!</v>
      </c>
      <c r="D51" s="41" t="e">
        <f>a!#REF!+a!G266+a!G535+a!G557+a!G292+a!G243+a!G600+a!G315+a!#REF!</f>
        <v>#REF!</v>
      </c>
      <c r="E51" s="67" t="e">
        <f t="shared" si="1"/>
        <v>#REF!</v>
      </c>
      <c r="F51" s="75" t="e">
        <f t="shared" si="2"/>
        <v>#REF!</v>
      </c>
    </row>
    <row r="52" spans="1:6" ht="12.75">
      <c r="A52" s="28">
        <v>4260</v>
      </c>
      <c r="B52" s="11" t="s">
        <v>126</v>
      </c>
      <c r="C52" s="41" t="e">
        <f>a!D29+a!D127+a!D179+a!D220+a!D244+a!D267+a!D406+a!D536+a!D558+a!D293+a!D316+a!D506+a!D587+a!#REF!</f>
        <v>#REF!</v>
      </c>
      <c r="D52" s="41" t="e">
        <f>a!G29+a!G127+a!G179+a!G220+a!G244+a!G267+a!G406+a!G536+a!G558+a!G293+a!G316+a!G506+a!G587+a!#REF!</f>
        <v>#REF!</v>
      </c>
      <c r="E52" s="67" t="e">
        <f t="shared" si="1"/>
        <v>#REF!</v>
      </c>
      <c r="F52" s="75" t="e">
        <f t="shared" si="2"/>
        <v>#REF!</v>
      </c>
    </row>
    <row r="53" spans="1:6" ht="12.75">
      <c r="A53" s="28">
        <v>4270</v>
      </c>
      <c r="B53" s="11" t="s">
        <v>127</v>
      </c>
      <c r="C53" s="41" t="e">
        <f>a!D30+a!D128+a!D180+a!D268+a!D407+a!D537+a!D436+a!D294+a!D221+a!#REF!</f>
        <v>#REF!</v>
      </c>
      <c r="D53" s="41" t="e">
        <f>a!G30+a!G128+a!G180+a!G268+a!G407+a!G537+a!G436+a!G294+a!G221+a!#REF!</f>
        <v>#REF!</v>
      </c>
      <c r="E53" s="67" t="e">
        <f t="shared" si="1"/>
        <v>#REF!</v>
      </c>
      <c r="F53" s="75" t="e">
        <f t="shared" si="2"/>
        <v>#REF!</v>
      </c>
    </row>
    <row r="54" spans="1:6" ht="12.75">
      <c r="A54" s="28">
        <v>4280</v>
      </c>
      <c r="B54" s="11" t="s">
        <v>99</v>
      </c>
      <c r="C54" s="41" t="e">
        <f>a!D222+a!D269+a!D129+a!D246+a!D295+a!D560+a!D31+a!#REF!+a!D181+a!D508</f>
        <v>#REF!</v>
      </c>
      <c r="D54" s="41" t="e">
        <f>a!G222+a!G269+a!G129+a!G246+a!G295+a!G560+a!G31+a!#REF!+a!G181+a!G508</f>
        <v>#REF!</v>
      </c>
      <c r="E54" s="67" t="e">
        <f t="shared" si="1"/>
        <v>#REF!</v>
      </c>
      <c r="F54" s="75" t="e">
        <f t="shared" si="2"/>
        <v>#REF!</v>
      </c>
    </row>
    <row r="55" spans="1:6" ht="12.75">
      <c r="A55" s="28">
        <v>4288</v>
      </c>
      <c r="B55" s="11" t="s">
        <v>99</v>
      </c>
      <c r="C55" s="41" t="e">
        <f>a!#REF!</f>
        <v>#REF!</v>
      </c>
      <c r="D55" s="41" t="e">
        <f>a!#REF!</f>
        <v>#REF!</v>
      </c>
      <c r="E55" s="67"/>
      <c r="F55" s="75" t="e">
        <f t="shared" si="2"/>
        <v>#REF!</v>
      </c>
    </row>
    <row r="56" spans="1:6" ht="12.75">
      <c r="A56" s="28">
        <v>4289</v>
      </c>
      <c r="B56" s="11" t="s">
        <v>99</v>
      </c>
      <c r="C56" s="41" t="e">
        <f>a!#REF!</f>
        <v>#REF!</v>
      </c>
      <c r="D56" s="41" t="e">
        <f>a!#REF!</f>
        <v>#REF!</v>
      </c>
      <c r="E56" s="67"/>
      <c r="F56" s="75"/>
    </row>
    <row r="57" spans="1:6" ht="12.75">
      <c r="A57" s="28">
        <v>4300</v>
      </c>
      <c r="B57" s="11" t="s">
        <v>79</v>
      </c>
      <c r="C57" s="39" t="e">
        <f>a!D618+a!D607+a!D588+a!D561+a!D539+a!#REF!+a!D509+a!D489+a!D476+a!D453+a!D438+a!D409+a!D317+a!D296+a!D270+a!D247+a!D223+a!D182+a!#REF!+a!D148+a!D130+a!D111+a!D83+a!D74+a!D71+a!D63+a!D32+a!D17+a!D8+a!#REF!+a!D323+a!D591</f>
        <v>#REF!</v>
      </c>
      <c r="D57" s="39" t="e">
        <f>a!G618+a!G607+a!G588+a!G561+a!G539+a!#REF!+a!G509+a!G489+a!G476+a!G453+a!G438+a!G409+a!G317+a!G296+a!G270+a!G247+a!G223+a!G182+a!#REF!+a!G148+a!G130+a!G111+a!G83+a!G74+a!G71+a!G63+a!G32+a!G17+a!G8+a!#REF!+a!G323+a!G591</f>
        <v>#REF!</v>
      </c>
      <c r="E57" s="67" t="e">
        <f t="shared" si="1"/>
        <v>#REF!</v>
      </c>
      <c r="F57" s="75" t="e">
        <f>D57/$D$78</f>
        <v>#REF!</v>
      </c>
    </row>
    <row r="58" spans="1:6" ht="12.75">
      <c r="A58" s="28">
        <v>4308</v>
      </c>
      <c r="B58" s="11" t="s">
        <v>79</v>
      </c>
      <c r="C58" s="39" t="e">
        <f>a!#REF!+a!D459+a!#REF!</f>
        <v>#REF!</v>
      </c>
      <c r="D58" s="39" t="e">
        <f>a!#REF!+a!G459+a!#REF!</f>
        <v>#REF!</v>
      </c>
      <c r="E58" s="67" t="e">
        <f t="shared" si="1"/>
        <v>#REF!</v>
      </c>
      <c r="F58" s="75" t="e">
        <f>D58/$D$78</f>
        <v>#REF!</v>
      </c>
    </row>
    <row r="59" spans="1:6" ht="12.75">
      <c r="A59" s="28">
        <v>4309</v>
      </c>
      <c r="B59" s="11" t="s">
        <v>79</v>
      </c>
      <c r="C59" s="39" t="e">
        <f>a!#REF!</f>
        <v>#REF!</v>
      </c>
      <c r="D59" s="39" t="e">
        <f>a!#REF!</f>
        <v>#REF!</v>
      </c>
      <c r="E59" s="67"/>
      <c r="F59" s="75"/>
    </row>
    <row r="60" spans="1:6" ht="12.75">
      <c r="A60" s="28">
        <v>4350</v>
      </c>
      <c r="B60" s="11" t="s">
        <v>195</v>
      </c>
      <c r="C60" s="39">
        <f>a!D33+a!D183+a!D224+a!D271+a!D297+a!D439+a!D540+a!D477+a!D410+a!D131</f>
        <v>25942</v>
      </c>
      <c r="D60" s="39">
        <f>a!G33+a!G183+a!G224+a!G271+a!G297+a!G439+a!G540+a!G477+a!G410+a!G131</f>
        <v>24908</v>
      </c>
      <c r="E60" s="67">
        <f t="shared" si="1"/>
        <v>0.9601418549071005</v>
      </c>
      <c r="F60" s="75" t="e">
        <f>D60/$D$78</f>
        <v>#REF!</v>
      </c>
    </row>
    <row r="61" spans="1:6" ht="12.75">
      <c r="A61" s="28">
        <v>4410</v>
      </c>
      <c r="B61" s="11" t="s">
        <v>67</v>
      </c>
      <c r="C61" s="39" t="e">
        <f>a!D36+a!D87+a!D112+a!D136+a!#REF!+a!D186+a!D226+a!D413+a!D441+a!#REF!+a!D513+a!D542+a!D564+a!D619+a!D250+a!D273+a!D300+a!#REF!</f>
        <v>#REF!</v>
      </c>
      <c r="D61" s="39" t="e">
        <f>a!G36+a!G87+a!G112+a!G136+a!#REF!+a!G186+a!G226+a!G413+a!G441+a!#REF!+a!G513+a!G542+a!G564+a!G619+a!G250+a!G273+a!G300+a!#REF!</f>
        <v>#REF!</v>
      </c>
      <c r="E61" s="67" t="e">
        <f t="shared" si="1"/>
        <v>#REF!</v>
      </c>
      <c r="F61" s="75" t="e">
        <f>D61/$D$78</f>
        <v>#REF!</v>
      </c>
    </row>
    <row r="62" spans="1:6" ht="12.75">
      <c r="A62" s="28">
        <v>4418</v>
      </c>
      <c r="B62" s="11" t="s">
        <v>67</v>
      </c>
      <c r="C62" s="39" t="e">
        <f>a!#REF!+a!D460</f>
        <v>#REF!</v>
      </c>
      <c r="D62" s="39" t="e">
        <f>a!#REF!+a!G460</f>
        <v>#REF!</v>
      </c>
      <c r="E62" s="67" t="e">
        <f t="shared" si="1"/>
        <v>#REF!</v>
      </c>
      <c r="F62" s="75"/>
    </row>
    <row r="63" spans="1:6" ht="12.75">
      <c r="A63" s="28">
        <v>4420</v>
      </c>
      <c r="B63" s="11" t="s">
        <v>232</v>
      </c>
      <c r="C63" s="39">
        <f>a!D137</f>
        <v>7440</v>
      </c>
      <c r="D63" s="39">
        <f>a!G137</f>
        <v>10000</v>
      </c>
      <c r="E63" s="67">
        <f t="shared" si="1"/>
        <v>1.3440860215053763</v>
      </c>
      <c r="F63" s="75"/>
    </row>
    <row r="64" spans="1:6" ht="12.75">
      <c r="A64" s="28">
        <v>4428</v>
      </c>
      <c r="B64" s="11" t="s">
        <v>232</v>
      </c>
      <c r="C64" s="39" t="e">
        <f>a!#REF!</f>
        <v>#REF!</v>
      </c>
      <c r="D64" s="39" t="e">
        <f>a!#REF!</f>
        <v>#REF!</v>
      </c>
      <c r="E64" s="67" t="e">
        <f t="shared" si="1"/>
        <v>#REF!</v>
      </c>
      <c r="F64" s="75"/>
    </row>
    <row r="65" spans="1:6" ht="12.75">
      <c r="A65" s="28">
        <v>4430</v>
      </c>
      <c r="B65" s="11" t="s">
        <v>78</v>
      </c>
      <c r="C65" s="39" t="e">
        <f>a!D37+a!D88+a!D113+a!D138+a!#REF!+a!D187+a!D227+a!D274+a!D301+a!D414+a!D442+a!D514+a!D620+a!#REF!</f>
        <v>#REF!</v>
      </c>
      <c r="D65" s="39" t="e">
        <f>a!G37+a!G88+a!G113+a!G138+a!#REF!+a!G187+a!G227+a!G274+a!G301+a!G414+a!G442+a!G514+a!G620+a!#REF!</f>
        <v>#REF!</v>
      </c>
      <c r="E65" s="67" t="e">
        <f t="shared" si="1"/>
        <v>#REF!</v>
      </c>
      <c r="F65" s="75" t="e">
        <f>D65/$D$78</f>
        <v>#REF!</v>
      </c>
    </row>
    <row r="66" spans="1:6" ht="12.75">
      <c r="A66" s="28">
        <v>4440</v>
      </c>
      <c r="B66" s="11" t="s">
        <v>69</v>
      </c>
      <c r="C66" s="41" t="e">
        <f>a!D38+a!D89+a!D101+a!D114+a!D139+a!D188+a!D228+a!D251+a!D275+a!#REF!+a!D415+a!D544+a!D565+a!D302+a!D320+a!D443+a!D515+a!#REF!+a!D594+a!D480</f>
        <v>#REF!</v>
      </c>
      <c r="D66" s="41" t="e">
        <f>a!G38+a!G89+a!G101+a!G114+a!G139+a!G188+a!G228+a!G251+a!G275+a!#REF!+a!G415+a!G544+a!G565+a!G302+a!G320+a!G443+a!G515+a!#REF!+a!G594+a!G480</f>
        <v>#REF!</v>
      </c>
      <c r="E66" s="67" t="e">
        <f t="shared" si="1"/>
        <v>#REF!</v>
      </c>
      <c r="F66" s="75" t="e">
        <f>D66/$D$78</f>
        <v>#REF!</v>
      </c>
    </row>
    <row r="67" spans="1:6" ht="12.75">
      <c r="A67" s="28">
        <v>4480</v>
      </c>
      <c r="B67" s="11" t="s">
        <v>130</v>
      </c>
      <c r="C67" s="41" t="e">
        <f>a!D39+a!D65+a!#REF!+a!D189+a!D416</f>
        <v>#REF!</v>
      </c>
      <c r="D67" s="41" t="e">
        <f>a!G39+a!G65+a!#REF!+a!G189+a!G416</f>
        <v>#REF!</v>
      </c>
      <c r="E67" s="67" t="e">
        <f t="shared" si="1"/>
        <v>#REF!</v>
      </c>
      <c r="F67" s="75" t="e">
        <f>D67/$D$78</f>
        <v>#REF!</v>
      </c>
    </row>
    <row r="68" spans="1:6" ht="12.75">
      <c r="A68" s="28">
        <v>4500</v>
      </c>
      <c r="B68" s="11" t="s">
        <v>160</v>
      </c>
      <c r="C68" s="41">
        <f>a!D40</f>
        <v>4625</v>
      </c>
      <c r="D68" s="41">
        <f>a!G40</f>
        <v>4700</v>
      </c>
      <c r="E68" s="67">
        <f t="shared" si="1"/>
        <v>1.0162162162162163</v>
      </c>
      <c r="F68" s="75" t="e">
        <f>D68/$D$78</f>
        <v>#REF!</v>
      </c>
    </row>
    <row r="69" spans="1:6" ht="12.75">
      <c r="A69" s="29" t="s">
        <v>91</v>
      </c>
      <c r="B69" s="11" t="s">
        <v>92</v>
      </c>
      <c r="C69" s="41">
        <f>a!D41+a!D190</f>
        <v>757</v>
      </c>
      <c r="D69" s="41">
        <f>a!G41+a!G190</f>
        <v>1100</v>
      </c>
      <c r="E69" s="67">
        <f t="shared" si="1"/>
        <v>1.453104359313078</v>
      </c>
      <c r="F69" s="75" t="e">
        <f>D69/$D$78</f>
        <v>#REF!</v>
      </c>
    </row>
    <row r="70" spans="1:6" ht="12.75">
      <c r="A70" s="29" t="s">
        <v>166</v>
      </c>
      <c r="B70" s="46" t="s">
        <v>123</v>
      </c>
      <c r="C70" s="41">
        <f>a!D64</f>
        <v>135417</v>
      </c>
      <c r="D70" s="41">
        <f>a!G64</f>
        <v>0</v>
      </c>
      <c r="E70" s="67"/>
      <c r="F70" s="75"/>
    </row>
    <row r="71" spans="1:6" ht="12" customHeight="1">
      <c r="A71" s="29" t="s">
        <v>164</v>
      </c>
      <c r="B71" s="15" t="s">
        <v>139</v>
      </c>
      <c r="C71" s="41">
        <f>a!D207</f>
        <v>0</v>
      </c>
      <c r="D71" s="41">
        <f>a!G207</f>
        <v>680000</v>
      </c>
      <c r="E71" s="67"/>
      <c r="F71" s="75" t="e">
        <f aca="true" t="shared" si="3" ref="F71:F77">D71/$D$78</f>
        <v>#REF!</v>
      </c>
    </row>
    <row r="72" spans="1:6" ht="15" customHeight="1">
      <c r="A72" s="29" t="s">
        <v>201</v>
      </c>
      <c r="B72" s="11" t="s">
        <v>184</v>
      </c>
      <c r="C72" s="41" t="e">
        <f>a!#REF!</f>
        <v>#REF!</v>
      </c>
      <c r="D72" s="41" t="e">
        <f>a!#REF!</f>
        <v>#REF!</v>
      </c>
      <c r="E72" s="67" t="e">
        <f t="shared" si="1"/>
        <v>#REF!</v>
      </c>
      <c r="F72" s="75" t="e">
        <f t="shared" si="3"/>
        <v>#REF!</v>
      </c>
    </row>
    <row r="73" spans="1:6" ht="12.75">
      <c r="A73" s="30">
        <v>6060</v>
      </c>
      <c r="B73" s="20" t="s">
        <v>159</v>
      </c>
      <c r="C73" s="59" t="e">
        <f>a!#REF!+a!D144+a!#REF!+a!#REF!+a!D420+a!D306+a!#REF!+a!#REF!+a!#REF!+a!#REF!</f>
        <v>#REF!</v>
      </c>
      <c r="D73" s="59" t="e">
        <f>a!#REF!+a!G144+a!#REF!+a!#REF!+a!G420+a!G306+a!#REF!+a!#REF!+a!#REF!+a!#REF!</f>
        <v>#REF!</v>
      </c>
      <c r="E73" s="67" t="e">
        <f t="shared" si="1"/>
        <v>#REF!</v>
      </c>
      <c r="F73" s="75" t="e">
        <f t="shared" si="3"/>
        <v>#REF!</v>
      </c>
    </row>
    <row r="74" spans="1:6" ht="12.75">
      <c r="A74" s="30">
        <v>6068</v>
      </c>
      <c r="B74" s="20" t="s">
        <v>159</v>
      </c>
      <c r="C74" s="59" t="e">
        <f>a!#REF!+a!#REF!+a!#REF!</f>
        <v>#REF!</v>
      </c>
      <c r="D74" s="59" t="e">
        <f>a!#REF!+a!#REF!+a!#REF!</f>
        <v>#REF!</v>
      </c>
      <c r="E74" s="67" t="e">
        <f t="shared" si="1"/>
        <v>#REF!</v>
      </c>
      <c r="F74" s="75" t="e">
        <f t="shared" si="3"/>
        <v>#REF!</v>
      </c>
    </row>
    <row r="75" spans="1:6" ht="12.75">
      <c r="A75" s="30">
        <v>6069</v>
      </c>
      <c r="B75" s="20" t="s">
        <v>159</v>
      </c>
      <c r="C75" s="59" t="e">
        <f>a!#REF!+a!#REF!</f>
        <v>#REF!</v>
      </c>
      <c r="D75" s="59" t="e">
        <f>a!#REF!+a!#REF!</f>
        <v>#REF!</v>
      </c>
      <c r="E75" s="67" t="e">
        <f t="shared" si="1"/>
        <v>#REF!</v>
      </c>
      <c r="F75" s="75" t="e">
        <f t="shared" si="3"/>
        <v>#REF!</v>
      </c>
    </row>
    <row r="76" spans="1:6" ht="24">
      <c r="A76" s="30">
        <v>8020</v>
      </c>
      <c r="B76" s="15" t="s">
        <v>125</v>
      </c>
      <c r="C76" s="59">
        <f>a!D201</f>
        <v>190200</v>
      </c>
      <c r="D76" s="59">
        <f>a!G201</f>
        <v>70000</v>
      </c>
      <c r="E76" s="67">
        <f t="shared" si="1"/>
        <v>0.36803364879074657</v>
      </c>
      <c r="F76" s="75" t="e">
        <f t="shared" si="3"/>
        <v>#REF!</v>
      </c>
    </row>
    <row r="77" spans="1:6" ht="13.5" thickBot="1">
      <c r="A77" s="56">
        <v>8070</v>
      </c>
      <c r="B77" s="57" t="s">
        <v>133</v>
      </c>
      <c r="C77" s="60" t="e">
        <f>a!D198+a!#REF!</f>
        <v>#REF!</v>
      </c>
      <c r="D77" s="60" t="e">
        <f>a!G198+a!#REF!</f>
        <v>#REF!</v>
      </c>
      <c r="E77" s="66" t="e">
        <f t="shared" si="1"/>
        <v>#REF!</v>
      </c>
      <c r="F77" s="75" t="e">
        <f t="shared" si="3"/>
        <v>#REF!</v>
      </c>
    </row>
    <row r="78" spans="1:6" ht="14.25" thickBot="1" thickTop="1">
      <c r="A78" s="303" t="s">
        <v>168</v>
      </c>
      <c r="B78" s="304"/>
      <c r="C78" s="61" t="e">
        <f>SUM(C3:C77)</f>
        <v>#REF!</v>
      </c>
      <c r="D78" s="61" t="e">
        <f>SUM(D3:D77)</f>
        <v>#REF!</v>
      </c>
      <c r="E78" s="62" t="e">
        <f>D78/C78</f>
        <v>#REF!</v>
      </c>
      <c r="F78" s="63" t="e">
        <f>D78/D78</f>
        <v>#REF!</v>
      </c>
    </row>
    <row r="79" ht="13.5" thickTop="1">
      <c r="A79" s="38" t="s">
        <v>173</v>
      </c>
    </row>
  </sheetData>
  <mergeCells count="2">
    <mergeCell ref="A78:B78"/>
    <mergeCell ref="A1:D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3" r:id="rId1"/>
  <headerFooter alignWithMargins="0">
    <oddFooter>&amp;R12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I5" sqref="I5"/>
    </sheetView>
  </sheetViews>
  <sheetFormatPr defaultColWidth="9.00390625" defaultRowHeight="12.75"/>
  <cols>
    <col min="2" max="2" width="42.75390625" style="0" customWidth="1"/>
    <col min="3" max="4" width="13.375" style="0" bestFit="1" customWidth="1"/>
  </cols>
  <sheetData>
    <row r="1" spans="1:14" ht="13.5" thickBot="1">
      <c r="A1" s="305" t="s">
        <v>172</v>
      </c>
      <c r="B1" s="305"/>
      <c r="C1" s="305"/>
      <c r="D1" s="305"/>
      <c r="E1" s="306" t="s">
        <v>174</v>
      </c>
      <c r="F1" s="306"/>
      <c r="G1" s="306" t="s">
        <v>175</v>
      </c>
      <c r="H1" s="306"/>
      <c r="I1" s="306" t="s">
        <v>176</v>
      </c>
      <c r="J1" s="306"/>
      <c r="K1" s="306" t="s">
        <v>176</v>
      </c>
      <c r="L1" s="306"/>
      <c r="M1" s="306"/>
      <c r="N1" s="306"/>
    </row>
    <row r="2" spans="1:4" ht="39.75" thickBot="1" thickTop="1">
      <c r="A2" s="23" t="s">
        <v>16</v>
      </c>
      <c r="B2" s="24" t="s">
        <v>169</v>
      </c>
      <c r="C2" s="24" t="s">
        <v>171</v>
      </c>
      <c r="D2" s="25" t="s">
        <v>170</v>
      </c>
    </row>
    <row r="3" spans="1:4" ht="24.75" thickTop="1">
      <c r="A3" s="26">
        <v>2310</v>
      </c>
      <c r="B3" s="22" t="s">
        <v>137</v>
      </c>
      <c r="C3" s="16" t="e">
        <f>a!#REF!+a!#REF!</f>
        <v>#REF!</v>
      </c>
      <c r="D3" s="18" t="e">
        <f>a!G117+a!#REF!</f>
        <v>#REF!</v>
      </c>
    </row>
    <row r="4" spans="1:4" ht="12.75">
      <c r="A4" s="27">
        <v>2320</v>
      </c>
      <c r="B4" s="14" t="s">
        <v>102</v>
      </c>
      <c r="C4" s="12" t="e">
        <f>a!#REF!+a!#REF!+a!#REF!</f>
        <v>#REF!</v>
      </c>
      <c r="D4" s="17" t="e">
        <f>a!#REF!+a!G323+a!#REF!</f>
        <v>#REF!</v>
      </c>
    </row>
    <row r="5" spans="1:4" ht="12.75">
      <c r="A5" s="27">
        <v>2570</v>
      </c>
      <c r="B5" s="11" t="s">
        <v>85</v>
      </c>
      <c r="C5" s="12" t="e">
        <f>a!#REF!</f>
        <v>#REF!</v>
      </c>
      <c r="D5" s="17" t="e">
        <f>a!#REF!</f>
        <v>#REF!</v>
      </c>
    </row>
    <row r="6" spans="1:4" ht="48">
      <c r="A6" s="27">
        <v>2580</v>
      </c>
      <c r="B6" s="11" t="s">
        <v>107</v>
      </c>
      <c r="C6" s="12" t="e">
        <f>a!#REF!</f>
        <v>#REF!</v>
      </c>
      <c r="D6" s="17">
        <f>a!G397</f>
        <v>1072120</v>
      </c>
    </row>
    <row r="7" spans="1:4" ht="12.75">
      <c r="A7" s="27">
        <v>2630</v>
      </c>
      <c r="B7" s="11" t="s">
        <v>131</v>
      </c>
      <c r="C7" s="12" t="e">
        <f>a!#REF!</f>
        <v>#REF!</v>
      </c>
      <c r="D7" s="17" t="e">
        <f>a!#REF!</f>
        <v>#REF!</v>
      </c>
    </row>
    <row r="8" spans="1:4" ht="12.75">
      <c r="A8" s="27">
        <v>2660</v>
      </c>
      <c r="B8" s="19" t="s">
        <v>157</v>
      </c>
      <c r="C8" s="12" t="e">
        <f>a!#REF!</f>
        <v>#REF!</v>
      </c>
      <c r="D8" s="17" t="e">
        <f>a!#REF!</f>
        <v>#REF!</v>
      </c>
    </row>
    <row r="9" spans="1:4" ht="12.75">
      <c r="A9" s="27">
        <v>3020</v>
      </c>
      <c r="B9" s="14" t="s">
        <v>132</v>
      </c>
      <c r="C9" s="12" t="e">
        <f>a!#REF!+a!#REF!+a!#REF!+a!#REF!+a!#REF!+a!#REF!+a!#REF!+a!#REF!+a!#REF!</f>
        <v>#REF!</v>
      </c>
      <c r="D9" s="17" t="e">
        <f>a!G22+a!#REF!+a!G212+a!#REF!+a!G259+a!#REF!+a!#REF!+a!G528+a!G550</f>
        <v>#REF!</v>
      </c>
    </row>
    <row r="10" spans="1:4" ht="12.75">
      <c r="A10" s="27">
        <v>3030</v>
      </c>
      <c r="B10" s="11" t="s">
        <v>74</v>
      </c>
      <c r="C10" s="12" t="e">
        <f>a!#REF!+a!#REF!+a!#REF!+a!#REF!+a!#REF!+a!#REF!+a!#REF!+a!#REF!</f>
        <v>#REF!</v>
      </c>
      <c r="D10" s="17" t="e">
        <f>a!#REF!+a!G104+a!#REF!+a!#REF!+a!#REF!+a!G324+a!#REF!+a!G616</f>
        <v>#REF!</v>
      </c>
    </row>
    <row r="11" spans="1:4" ht="12.75">
      <c r="A11" s="27">
        <v>3110</v>
      </c>
      <c r="B11" s="11" t="s">
        <v>108</v>
      </c>
      <c r="C11" s="12" t="e">
        <f>a!#REF!+a!#REF!+a!#REF!+a!#REF!</f>
        <v>#REF!</v>
      </c>
      <c r="D11" s="17" t="e">
        <f>a!G374+a!G426+a!#REF!+a!#REF!</f>
        <v>#REF!</v>
      </c>
    </row>
    <row r="12" spans="1:4" ht="12.75">
      <c r="A12" s="27">
        <v>3240</v>
      </c>
      <c r="B12" s="11" t="s">
        <v>112</v>
      </c>
      <c r="C12" s="12" t="e">
        <f>a!#REF!</f>
        <v>#REF!</v>
      </c>
      <c r="D12" s="17" t="e">
        <f>a!#REF!</f>
        <v>#REF!</v>
      </c>
    </row>
    <row r="13" spans="1:4" ht="12.75">
      <c r="A13" s="28">
        <v>4010</v>
      </c>
      <c r="B13" s="11" t="s">
        <v>62</v>
      </c>
      <c r="C13" s="12" t="e">
        <f>a!#REF!+a!#REF!+a!#REF!+a!#REF!+a!#REF!+a!#REF!+a!#REF!+a!#REF!+a!#REF!+a!#REF!+a!#REF!+a!#REF!+a!#REF!+a!#REF!+a!#REF!+a!#REF!+a!#REF!+a!#REF!+a!#REF!</f>
        <v>#REF!</v>
      </c>
      <c r="D13" s="17" t="e">
        <f>a!#REF!+a!G23+a!G77+a!G97+a!G105+a!G119+a!G166+a!G213+a!G237+a!G260+a!#REF!+a!#REF!+a!G399+a!#REF!+a!#REF!+a!#REF!+a!G529+a!G551+a!G594</f>
        <v>#REF!</v>
      </c>
    </row>
    <row r="14" spans="1:4" ht="12.75">
      <c r="A14" s="28">
        <v>4020</v>
      </c>
      <c r="B14" s="11" t="s">
        <v>158</v>
      </c>
      <c r="C14" s="12" t="e">
        <f>a!#REF!+a!#REF!</f>
        <v>#REF!</v>
      </c>
      <c r="D14" s="17" t="e">
        <f>a!#REF!+a!G78</f>
        <v>#REF!</v>
      </c>
    </row>
    <row r="15" spans="1:4" ht="12.75">
      <c r="A15" s="28">
        <v>4040</v>
      </c>
      <c r="B15" s="11" t="s">
        <v>82</v>
      </c>
      <c r="C15" s="12" t="e">
        <f>a!#REF!+a!#REF!+a!#REF!+a!#REF!+a!#REF!+a!#REF!+a!#REF!+a!#REF!+a!#REF!+a!#REF!+a!#REF!+a!#REF!+a!#REF!+a!#REF!+a!#REF!+a!#REF!</f>
        <v>#REF!</v>
      </c>
      <c r="D15" s="17" t="e">
        <f>a!#REF!+a!G24+a!G79+a!G98+a!G106+a!G120+a!G168+a!G214+a!G238+a!G261+a!#REF!+a!G400+a!#REF!+a!#REF!+a!G530+a!G552</f>
        <v>#REF!</v>
      </c>
    </row>
    <row r="16" spans="1:4" ht="12.75">
      <c r="A16" s="28">
        <v>4050</v>
      </c>
      <c r="B16" s="11" t="s">
        <v>86</v>
      </c>
      <c r="C16" s="12" t="e">
        <f>a!#REF!</f>
        <v>#REF!</v>
      </c>
      <c r="D16" s="17">
        <f>a!G169</f>
        <v>1581360</v>
      </c>
    </row>
    <row r="17" spans="1:4" ht="12.75">
      <c r="A17" s="28">
        <v>4060</v>
      </c>
      <c r="B17" s="11" t="s">
        <v>87</v>
      </c>
      <c r="C17" s="12" t="e">
        <f>a!#REF!</f>
        <v>#REF!</v>
      </c>
      <c r="D17" s="17">
        <f>a!G170</f>
        <v>80400</v>
      </c>
    </row>
    <row r="18" spans="1:4" ht="12.75">
      <c r="A18" s="28">
        <v>4070</v>
      </c>
      <c r="B18" s="11" t="s">
        <v>88</v>
      </c>
      <c r="C18" s="12" t="e">
        <f>a!#REF!</f>
        <v>#REF!</v>
      </c>
      <c r="D18" s="17">
        <f>a!G171</f>
        <v>131730</v>
      </c>
    </row>
    <row r="19" spans="1:4" ht="12.75">
      <c r="A19" s="28">
        <v>4080</v>
      </c>
      <c r="B19" s="11" t="s">
        <v>138</v>
      </c>
      <c r="C19" s="12" t="e">
        <f>a!#REF!</f>
        <v>#REF!</v>
      </c>
      <c r="D19" s="17" t="e">
        <f>a!#REF!</f>
        <v>#REF!</v>
      </c>
    </row>
    <row r="20" spans="1:4" ht="12.75">
      <c r="A20" s="28">
        <v>4110</v>
      </c>
      <c r="B20" s="11" t="s">
        <v>81</v>
      </c>
      <c r="C20" s="12" t="e">
        <f>a!#REF!+a!#REF!+a!#REF!+a!#REF!+a!#REF!+a!#REF!+a!#REF!+a!#REF!+a!#REF!+a!#REF!+a!#REF!+a!#REF!+a!#REF!+a!#REF!+a!#REF!+a!#REF!+a!#REF!+a!#REF!+a!#REF!+a!#REF!</f>
        <v>#REF!</v>
      </c>
      <c r="D20" s="17" t="e">
        <f>a!#REF!+a!G25+a!G80+a!G99+a!G107+a!G121+a!#REF!+a!G172+a!G215+a!G239+a!G262+a!#REF!+a!#REF!+a!G401+a!#REF!+a!#REF!+a!#REF!+a!G531+a!G553+a!#REF!</f>
        <v>#REF!</v>
      </c>
    </row>
    <row r="21" spans="1:4" ht="12.75">
      <c r="A21" s="28">
        <v>4120</v>
      </c>
      <c r="B21" s="11" t="s">
        <v>80</v>
      </c>
      <c r="C21" s="12" t="e">
        <f>a!#REF!+a!#REF!+a!#REF!+a!#REF!+a!#REF!+a!#REF!+a!#REF!+a!#REF!+a!#REF!+a!#REF!+a!#REF!+a!#REF!+a!#REF!+a!#REF!+a!#REF!+a!#REF!+a!#REF!+a!#REF!+a!#REF!+a!#REF!</f>
        <v>#REF!</v>
      </c>
      <c r="D21" s="17" t="e">
        <f>a!#REF!+a!G26+a!G81+a!G100+a!G108+a!G122+a!#REF!+a!G173+a!G216+a!G240+a!G263+a!#REF!+a!#REF!+a!G402+a!#REF!+a!#REF!+a!#REF!+a!G532+a!G554+a!#REF!</f>
        <v>#REF!</v>
      </c>
    </row>
    <row r="22" spans="1:4" ht="12.75">
      <c r="A22" s="28">
        <v>4130</v>
      </c>
      <c r="B22" s="14" t="s">
        <v>81</v>
      </c>
      <c r="C22" s="12" t="e">
        <f>a!#REF!</f>
        <v>#REF!</v>
      </c>
      <c r="D22" s="17">
        <f>a!G367</f>
        <v>679000</v>
      </c>
    </row>
    <row r="23" spans="1:4" ht="12.75">
      <c r="A23" s="28">
        <v>4140</v>
      </c>
      <c r="B23" s="11" t="s">
        <v>83</v>
      </c>
      <c r="C23" s="12" t="e">
        <f>a!#REF!+a!#REF!</f>
        <v>#REF!</v>
      </c>
      <c r="D23" s="17" t="e">
        <f>a!#REF!+a!#REF!</f>
        <v>#REF!</v>
      </c>
    </row>
    <row r="24" spans="1:4" ht="12.75">
      <c r="A24" s="28">
        <v>4210</v>
      </c>
      <c r="B24" s="11" t="s">
        <v>64</v>
      </c>
      <c r="C24" s="12" t="e">
        <f>a!#REF!+a!#REF!+a!#REF!+a!#REF!+a!#REF!+a!#REF!+a!#REF!+a!#REF!+a!#REF!+a!#REF!+a!#REF!+a!#REF!+a!#REF!+a!#REF!+a!#REF!+a!#REF!+a!#REF!+a!#REF!+a!#REF!+a!#REF!+a!#REF!+a!#REF!+a!#REF!+a!#REF!+a!#REF!+a!#REF!+a!#REF!</f>
        <v>#REF!</v>
      </c>
      <c r="D24" s="17" t="e">
        <f>a!#REF!+a!#REF!+a!#REF!+a!#REF!+a!G28+a!G82+a!#REF!+a!G110+a!G125+a!G147+a!#REF!+a!G176+a!G218+a!G242+a!G265+a!#REF!+a!#REF!+a!G403+a!#REF!+a!#REF!+a!#REF!+a!G534+a!G555+a!#REF!+a!G600+a!G606+a!G617</f>
        <v>#REF!</v>
      </c>
    </row>
    <row r="25" spans="1:4" ht="12.75">
      <c r="A25" s="28">
        <v>4220</v>
      </c>
      <c r="B25" s="11" t="s">
        <v>90</v>
      </c>
      <c r="C25" s="12" t="e">
        <f>a!#REF!+a!#REF!</f>
        <v>#REF!</v>
      </c>
      <c r="D25" s="17" t="e">
        <f>a!#REF!+a!G404</f>
        <v>#REF!</v>
      </c>
    </row>
    <row r="26" spans="1:4" ht="12.75">
      <c r="A26" s="28">
        <v>4230</v>
      </c>
      <c r="B26" s="11" t="s">
        <v>89</v>
      </c>
      <c r="C26" s="12" t="e">
        <f>a!#REF!+a!#REF!+a!#REF!+a!#REF!</f>
        <v>#REF!</v>
      </c>
      <c r="D26" s="17" t="e">
        <f>a!G177+a!G219+a!#REF!+a!G405</f>
        <v>#REF!</v>
      </c>
    </row>
    <row r="27" spans="1:4" ht="12.75">
      <c r="A27" s="28">
        <v>4240</v>
      </c>
      <c r="B27" s="11" t="s">
        <v>97</v>
      </c>
      <c r="C27" s="12" t="e">
        <f>a!#REF!+a!#REF!+a!#REF!+a!#REF!</f>
        <v>#REF!</v>
      </c>
      <c r="D27" s="17" t="e">
        <f>a!#REF!+a!G266+a!#REF!+a!G535</f>
        <v>#REF!</v>
      </c>
    </row>
    <row r="28" spans="1:4" ht="12.75">
      <c r="A28" s="28">
        <v>4250</v>
      </c>
      <c r="B28" s="11" t="s">
        <v>93</v>
      </c>
      <c r="C28" s="12" t="e">
        <f>a!#REF!</f>
        <v>#REF!</v>
      </c>
      <c r="D28" s="17" t="e">
        <f>a!#REF!</f>
        <v>#REF!</v>
      </c>
    </row>
    <row r="29" spans="1:4" ht="12.75">
      <c r="A29" s="28">
        <v>4260</v>
      </c>
      <c r="B29" s="11" t="s">
        <v>126</v>
      </c>
      <c r="C29" s="12" t="e">
        <f>a!#REF!+a!#REF!+a!#REF!+a!#REF!+a!#REF!+a!#REF!+a!#REF!+a!#REF!+a!#REF!+a!#REF!+a!#REF!+a!#REF!+a!#REF!</f>
        <v>#REF!</v>
      </c>
      <c r="D29" s="17" t="e">
        <f>a!#REF!+a!G29+a!G127+a!G179+a!G220+a!G244+a!G267+a!#REF!+a!G406+a!#REF!+a!G536+a!G558+a!#REF!</f>
        <v>#REF!</v>
      </c>
    </row>
    <row r="30" spans="1:4" ht="12.75">
      <c r="A30" s="28">
        <v>4270</v>
      </c>
      <c r="B30" s="11" t="s">
        <v>127</v>
      </c>
      <c r="C30" s="12" t="e">
        <f>a!#REF!+a!#REF!+a!#REF!+a!#REF!+a!#REF!+a!#REF!+a!#REF!+a!#REF!+a!#REF!+a!#REF!</f>
        <v>#REF!</v>
      </c>
      <c r="D30" s="17" t="e">
        <f>a!#REF!+a!G30+a!G128+a!G180+a!#REF!+a!G268+a!#REF!+a!G407+a!#REF!+a!G537</f>
        <v>#REF!</v>
      </c>
    </row>
    <row r="31" spans="1:4" ht="12.75">
      <c r="A31" s="28">
        <v>4280</v>
      </c>
      <c r="B31" s="11" t="s">
        <v>99</v>
      </c>
      <c r="C31" s="12" t="e">
        <f>a!#REF!+a!#REF!+a!#REF!</f>
        <v>#REF!</v>
      </c>
      <c r="D31" s="17" t="e">
        <f>a!G222+a!G269+a!#REF!</f>
        <v>#REF!</v>
      </c>
    </row>
    <row r="32" spans="1:4" ht="12.75">
      <c r="A32" s="28">
        <v>4300</v>
      </c>
      <c r="B32" s="11" t="s">
        <v>79</v>
      </c>
      <c r="C32" s="12" t="e">
        <f>a!#REF!+a!#REF!+a!#REF!+a!#REF!+a!#REF!+a!#REF!+a!#REF!+a!#REF!+a!#REF!+a!#REF!+a!#REF!+a!#REF!+a!#REF!+a!#REF!+a!#REF!+a!#REF!+a!#REF!+a!#REF!+a!#REF!+a!#REF!+a!#REF!+a!#REF!+a!#REF!+a!#REF!+a!#REF!+a!#REF!+a!#REF!+a!#REF!+a!#REF!+a!#REF!+a!#REF!+a!#REF!+a!#REF!+a!#REF!</f>
        <v>#REF!</v>
      </c>
      <c r="D32" s="17" t="e">
        <f>a!G8+a!#REF!+a!#REF!+a!#REF!+a!#REF!+a!G17+a!#REF!+a!G32+a!G62+a!G71+a!G74+a!G83+a!G111+a!G130+a!G148+a!#REF!+a!G182+a!G223+a!G247+a!G270+a!#REF!+a!#REF!+a!#REF!+a!G409+a!#REF!+a!G453+a!#REF!+a!#REF!+a!#REF!+a!G539+a!G561+a!#REF!+a!G607+a!G618</f>
        <v>#REF!</v>
      </c>
    </row>
    <row r="33" spans="1:4" ht="12.75">
      <c r="A33" s="28">
        <v>4410</v>
      </c>
      <c r="B33" s="11" t="s">
        <v>67</v>
      </c>
      <c r="C33" s="12" t="e">
        <f>a!#REF!+a!#REF!+a!#REF!+a!#REF!+a!#REF!+a!#REF!+a!#REF!+a!#REF!+a!#REF!+a!#REF!+a!#REF!+a!#REF!+a!#REF!+a!#REF!+a!#REF!+a!#REF!+a!#REF!+a!#REF!+a!#REF!</f>
        <v>#REF!</v>
      </c>
      <c r="D33" s="17" t="e">
        <f>a!#REF!+a!#REF!+a!G36+a!G87+a!G112+a!G136+a!#REF!+a!G186+a!G226+a!G250+a!G273+a!#REF!+a!G413+a!#REF!+a!#REF!+a!#REF!+a!G542+a!G564+a!G619</f>
        <v>#REF!</v>
      </c>
    </row>
    <row r="34" spans="1:4" ht="12.75">
      <c r="A34" s="28">
        <v>4430</v>
      </c>
      <c r="B34" s="11" t="s">
        <v>78</v>
      </c>
      <c r="C34" s="12" t="e">
        <f>a!#REF!+a!#REF!+a!#REF!+a!#REF!+a!#REF!+a!#REF!+a!#REF!+a!#REF!+a!#REF!+a!#REF!+a!#REF!+a!#REF!+a!#REF!+a!#REF!</f>
        <v>#REF!</v>
      </c>
      <c r="D34" s="17" t="e">
        <f>a!#REF!+a!G37+a!G88+a!G113+a!G138+a!#REF!+a!G187+a!G227+a!G274+a!#REF!+a!G414+a!#REF!+a!#REF!+a!G620</f>
        <v>#REF!</v>
      </c>
    </row>
    <row r="35" spans="1:4" ht="12.75">
      <c r="A35" s="28">
        <v>4440</v>
      </c>
      <c r="B35" s="11" t="s">
        <v>69</v>
      </c>
      <c r="C35" s="12" t="e">
        <f>a!#REF!+a!#REF!+a!#REF!+a!#REF!+a!#REF!+a!#REF!+a!#REF!+a!#REF!+a!#REF!+a!#REF!+a!#REF!+a!#REF!+a!#REF!+a!#REF!+a!#REF!+a!#REF!+a!#REF!+a!#REF!</f>
        <v>#REF!</v>
      </c>
      <c r="D35" s="17" t="e">
        <f>a!#REF!+a!G38+a!G89+a!G101+a!G114+a!G139+a!G188+a!G228+a!G251+a!G275+a!#REF!+a!#REF!+a!G415+a!#REF!+a!#REF!+a!G544+a!G565+a!#REF!</f>
        <v>#REF!</v>
      </c>
    </row>
    <row r="36" spans="1:4" ht="12.75">
      <c r="A36" s="28">
        <v>4480</v>
      </c>
      <c r="B36" s="11" t="s">
        <v>130</v>
      </c>
      <c r="C36" s="12" t="e">
        <f>a!#REF!+a!#REF!+a!#REF!+a!#REF!+a!#REF!+a!#REF!</f>
        <v>#REF!</v>
      </c>
      <c r="D36" s="17" t="e">
        <f>a!#REF!+a!G39+a!G65+a!#REF!+a!G189+a!G416</f>
        <v>#REF!</v>
      </c>
    </row>
    <row r="37" spans="1:4" ht="12.75">
      <c r="A37" s="28">
        <v>4500</v>
      </c>
      <c r="B37" s="11" t="s">
        <v>160</v>
      </c>
      <c r="C37" s="12" t="e">
        <f>a!#REF!</f>
        <v>#REF!</v>
      </c>
      <c r="D37" s="17">
        <f>a!G40</f>
        <v>4700</v>
      </c>
    </row>
    <row r="38" spans="1:4" ht="12.75">
      <c r="A38" s="28">
        <v>4510</v>
      </c>
      <c r="B38" s="11" t="s">
        <v>161</v>
      </c>
      <c r="C38" s="12" t="e">
        <f>a!#REF!</f>
        <v>#REF!</v>
      </c>
      <c r="D38" s="17" t="e">
        <f>a!#REF!</f>
        <v>#REF!</v>
      </c>
    </row>
    <row r="39" spans="1:4" ht="12.75">
      <c r="A39" s="29" t="s">
        <v>91</v>
      </c>
      <c r="B39" s="11" t="s">
        <v>92</v>
      </c>
      <c r="C39" s="12" t="e">
        <f>a!#REF!+a!#REF!</f>
        <v>#REF!</v>
      </c>
      <c r="D39" s="17">
        <f>a!G41+a!G190</f>
        <v>1100</v>
      </c>
    </row>
    <row r="40" spans="1:4" ht="12.75">
      <c r="A40" s="29" t="s">
        <v>167</v>
      </c>
      <c r="B40" s="11" t="s">
        <v>105</v>
      </c>
      <c r="C40" s="12" t="e">
        <f>a!#REF!</f>
        <v>#REF!</v>
      </c>
      <c r="D40" s="17" t="e">
        <f>a!#REF!</f>
        <v>#REF!</v>
      </c>
    </row>
    <row r="41" spans="1:4" ht="12.75">
      <c r="A41" s="29" t="s">
        <v>165</v>
      </c>
      <c r="B41" s="11" t="s">
        <v>122</v>
      </c>
      <c r="C41" s="12" t="e">
        <f>a!#REF!</f>
        <v>#REF!</v>
      </c>
      <c r="D41" s="17" t="e">
        <f>a!#REF!</f>
        <v>#REF!</v>
      </c>
    </row>
    <row r="42" spans="1:4" ht="12.75">
      <c r="A42" s="29" t="s">
        <v>166</v>
      </c>
      <c r="B42" s="14" t="s">
        <v>123</v>
      </c>
      <c r="C42" s="12" t="e">
        <f>a!#REF!</f>
        <v>#REF!</v>
      </c>
      <c r="D42" s="17" t="e">
        <f>a!#REF!</f>
        <v>#REF!</v>
      </c>
    </row>
    <row r="43" spans="1:4" ht="12.75">
      <c r="A43" s="29" t="s">
        <v>162</v>
      </c>
      <c r="B43" s="11" t="s">
        <v>163</v>
      </c>
      <c r="C43" s="12" t="e">
        <f>a!#REF!</f>
        <v>#REF!</v>
      </c>
      <c r="D43" s="17" t="e">
        <f>a!#REF!</f>
        <v>#REF!</v>
      </c>
    </row>
    <row r="44" spans="1:4" ht="12.75">
      <c r="A44" s="29" t="s">
        <v>164</v>
      </c>
      <c r="B44" s="15" t="s">
        <v>139</v>
      </c>
      <c r="C44" s="12" t="e">
        <f>a!#REF!+a!#REF!</f>
        <v>#REF!</v>
      </c>
      <c r="D44" s="17" t="e">
        <f>a!#REF!+a!#REF!</f>
        <v>#REF!</v>
      </c>
    </row>
    <row r="45" spans="1:4" ht="12.75">
      <c r="A45" s="30">
        <v>6060</v>
      </c>
      <c r="B45" s="20" t="s">
        <v>159</v>
      </c>
      <c r="C45" s="21" t="e">
        <f>a!#REF!+a!#REF!+a!#REF!+a!#REF!+a!#REF!+a!#REF!+a!#REF!+a!#REF!+a!#REF!+a!#REF!+a!#REF!</f>
        <v>#REF!</v>
      </c>
      <c r="D45" s="31" t="e">
        <f>a!#REF!+a!#REF!+a!#REF!+a!G144+a!#REF!+a!#REF!+a!#REF!+a!#REF!+a!#REF!+a!G420+a!#REF!</f>
        <v>#REF!</v>
      </c>
    </row>
    <row r="46" spans="1:4" ht="12.75">
      <c r="A46" s="30">
        <v>6610</v>
      </c>
      <c r="B46" s="11" t="s">
        <v>156</v>
      </c>
      <c r="C46" s="21" t="e">
        <f>a!#REF!</f>
        <v>#REF!</v>
      </c>
      <c r="D46" s="31" t="e">
        <f>a!#REF!</f>
        <v>#REF!</v>
      </c>
    </row>
    <row r="47" spans="1:4" ht="24">
      <c r="A47" s="30">
        <v>8020</v>
      </c>
      <c r="B47" s="15" t="s">
        <v>125</v>
      </c>
      <c r="C47" s="21" t="e">
        <f>a!#REF!</f>
        <v>#REF!</v>
      </c>
      <c r="D47" s="31">
        <f>a!G201</f>
        <v>70000</v>
      </c>
    </row>
    <row r="48" spans="1:4" ht="12.75">
      <c r="A48" s="30">
        <v>8040</v>
      </c>
      <c r="B48" s="20" t="s">
        <v>134</v>
      </c>
      <c r="C48" s="21" t="e">
        <f>a!#REF!</f>
        <v>#REF!</v>
      </c>
      <c r="D48" s="31" t="e">
        <f>a!#REF!</f>
        <v>#REF!</v>
      </c>
    </row>
    <row r="49" spans="1:4" ht="13.5" thickBot="1">
      <c r="A49" s="32">
        <v>8070</v>
      </c>
      <c r="B49" s="33" t="s">
        <v>133</v>
      </c>
      <c r="C49" s="34" t="e">
        <f>a!#REF!</f>
        <v>#REF!</v>
      </c>
      <c r="D49" s="35">
        <f>a!G198</f>
        <v>464809</v>
      </c>
    </row>
    <row r="50" spans="1:4" ht="14.25" thickBot="1" thickTop="1">
      <c r="A50" s="307" t="s">
        <v>168</v>
      </c>
      <c r="B50" s="308"/>
      <c r="C50" s="36" t="e">
        <f>SUM(C3:C49)</f>
        <v>#REF!</v>
      </c>
      <c r="D50" s="37" t="e">
        <f>SUM(D3:D49)</f>
        <v>#REF!</v>
      </c>
    </row>
    <row r="51" ht="13.5" thickTop="1">
      <c r="A51" s="38" t="s">
        <v>173</v>
      </c>
    </row>
  </sheetData>
  <mergeCells count="7">
    <mergeCell ref="K1:L1"/>
    <mergeCell ref="M1:N1"/>
    <mergeCell ref="A1:D1"/>
    <mergeCell ref="A50:B50"/>
    <mergeCell ref="E1:F1"/>
    <mergeCell ref="G1:H1"/>
    <mergeCell ref="I1:J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SEPOLNO KR.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</dc:creator>
  <cp:keywords/>
  <dc:description/>
  <cp:lastModifiedBy>Starostwo Powiatowe</cp:lastModifiedBy>
  <cp:lastPrinted>2008-01-02T09:53:36Z</cp:lastPrinted>
  <dcterms:created xsi:type="dcterms:W3CDTF">2002-10-15T06:09:48Z</dcterms:created>
  <dcterms:modified xsi:type="dcterms:W3CDTF">2008-01-02T09:53:42Z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