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55" windowWidth="11025" windowHeight="5835" activeTab="1"/>
  </bookViews>
  <sheets>
    <sheet name="a" sheetId="1" r:id="rId1"/>
    <sheet name="Arkusz2" sheetId="2" r:id="rId2"/>
    <sheet name="Arkusz3" sheetId="3" r:id="rId3"/>
  </sheets>
  <definedNames>
    <definedName name="_xlnm.Print_Area" localSheetId="0">'a'!$A$1:$H$534</definedName>
    <definedName name="_xlnm.Print_Area" localSheetId="1">'Arkusz2'!$A$1:$F$79</definedName>
  </definedNames>
  <calcPr fullCalcOnLoad="1"/>
</workbook>
</file>

<file path=xl/sharedStrings.xml><?xml version="1.0" encoding="utf-8"?>
<sst xmlns="http://schemas.openxmlformats.org/spreadsheetml/2006/main" count="713" uniqueCount="269">
  <si>
    <t>Rozdział</t>
  </si>
  <si>
    <t>Klasyfikacja budżetowa</t>
  </si>
  <si>
    <t>Prace geodezyjno-urządzeniowe na potrzeby rolnictwa</t>
  </si>
  <si>
    <t>Nadzór nad gospodarką leśną</t>
  </si>
  <si>
    <t>Gospodarka gruntami i nieruchomościami</t>
  </si>
  <si>
    <t>Prace geodezyjne i kartograficzne</t>
  </si>
  <si>
    <t>Nadzór budowlany</t>
  </si>
  <si>
    <t>Urzędy Wojewódzkie</t>
  </si>
  <si>
    <t>Starostwo Powiatowe</t>
  </si>
  <si>
    <t>Komisje poborowe</t>
  </si>
  <si>
    <t>Komenda powiatowa PSP</t>
  </si>
  <si>
    <t>Szkoły podstawowe specjalne</t>
  </si>
  <si>
    <t>Licea Ogólnokształcące</t>
  </si>
  <si>
    <t>Domy pomocy społecznej</t>
  </si>
  <si>
    <t>Rodziny zastępcze</t>
  </si>
  <si>
    <t>Zespoły do spraw orzekania o stopniu niepełnosprawności</t>
  </si>
  <si>
    <t>Internaty i bursy szkolne</t>
  </si>
  <si>
    <t>Szkolne schroniska młodzieżowe</t>
  </si>
  <si>
    <t>Paragraf</t>
  </si>
  <si>
    <t>Razem rozdział 01005</t>
  </si>
  <si>
    <t>Razem dział 010</t>
  </si>
  <si>
    <t>Dział 020 Leśnictwo</t>
  </si>
  <si>
    <t>Razem rozdział 02002</t>
  </si>
  <si>
    <t>Dział 710 Działalność usługowa</t>
  </si>
  <si>
    <t>Dział 750 Administracja Publiczna</t>
  </si>
  <si>
    <t>Opracowania geodezyjne i kartog.</t>
  </si>
  <si>
    <t>Dział 700 Gospodarka mieszkaniowa</t>
  </si>
  <si>
    <t>Razem dział 710</t>
  </si>
  <si>
    <t>Razem dział 71014</t>
  </si>
  <si>
    <t>Razem dział 75011</t>
  </si>
  <si>
    <t>Razem dział 71013</t>
  </si>
  <si>
    <t>Razem rozdział 75045</t>
  </si>
  <si>
    <t>Razem rozdział 75020</t>
  </si>
  <si>
    <t>Razem rozdział 75411</t>
  </si>
  <si>
    <t>Dział 754 Bezpieczeństwo publiczne i ochrona p.poż.</t>
  </si>
  <si>
    <t>Dział 801 Oświata i wychowanie</t>
  </si>
  <si>
    <t>Razem rozdział 80120</t>
  </si>
  <si>
    <t>Razem dział 801</t>
  </si>
  <si>
    <t>Dział 851 Ochrona zdrowia</t>
  </si>
  <si>
    <t>Razem dział 851</t>
  </si>
  <si>
    <t>Powiatowe centra pomocy rodzinie</t>
  </si>
  <si>
    <t>Razem rozdział 85321</t>
  </si>
  <si>
    <t>Powiatowe urzędy pracy</t>
  </si>
  <si>
    <t>Razem rozdział 85333</t>
  </si>
  <si>
    <t>Razem dział 853</t>
  </si>
  <si>
    <t>Razem rozdział 85410</t>
  </si>
  <si>
    <t>Razem rozdział 85417</t>
  </si>
  <si>
    <t>Razem dział 854</t>
  </si>
  <si>
    <t>Dział 854 Edukacyjna opieka wychowawcza</t>
  </si>
  <si>
    <t>02001</t>
  </si>
  <si>
    <t>Razem dział 020</t>
  </si>
  <si>
    <t>Razem rozdział 02001</t>
  </si>
  <si>
    <t>Razem rozdział 70005</t>
  </si>
  <si>
    <t>Razem dział 700</t>
  </si>
  <si>
    <t>Razem dział 750</t>
  </si>
  <si>
    <t>Szkoły zawodowe</t>
  </si>
  <si>
    <t>Razem rozdział 80130</t>
  </si>
  <si>
    <t>80195</t>
  </si>
  <si>
    <t>Pozostała działalność</t>
  </si>
  <si>
    <t>Pomoc materialna dla uczniów</t>
  </si>
  <si>
    <t>Razem rozdział 85415</t>
  </si>
  <si>
    <t>Razem dział 754</t>
  </si>
  <si>
    <t>zakup usług pozostałych</t>
  </si>
  <si>
    <t>01005</t>
  </si>
  <si>
    <t>Wynagrodzenie osobowe pracowników</t>
  </si>
  <si>
    <t>dodatkowe wynagrodzenie roczne</t>
  </si>
  <si>
    <t>składki Funduszu Pracy</t>
  </si>
  <si>
    <t>Zakup materiałów i wyposażenia</t>
  </si>
  <si>
    <t>zakup energii</t>
  </si>
  <si>
    <t>zakup usług remontowych</t>
  </si>
  <si>
    <t xml:space="preserve">Podróze słuzbowe krajowe </t>
  </si>
  <si>
    <t xml:space="preserve">różne opłaty i składki </t>
  </si>
  <si>
    <t>Odpisy na ZFŚS</t>
  </si>
  <si>
    <t>Podatek od nieruchomosci</t>
  </si>
  <si>
    <t>Dział 600 Transport i Łączność</t>
  </si>
  <si>
    <t>60014</t>
  </si>
  <si>
    <t>Drogi publiczne i powiatowe</t>
  </si>
  <si>
    <t>Różne wydatki na rzecz osób fizycznych</t>
  </si>
  <si>
    <t>Razem rozdział 60014</t>
  </si>
  <si>
    <t>Razem dział 600</t>
  </si>
  <si>
    <t>Rada Powiatu</t>
  </si>
  <si>
    <t xml:space="preserve">Różne opłaty i składki </t>
  </si>
  <si>
    <t>Zakup usług pozostałych</t>
  </si>
  <si>
    <t>Składki Funduszu Pracy</t>
  </si>
  <si>
    <t>Składki na ubezpieczenia społeczne</t>
  </si>
  <si>
    <t>Dodatkowe wynagrodzenie roczne</t>
  </si>
  <si>
    <t>PFRON</t>
  </si>
  <si>
    <t>6060</t>
  </si>
  <si>
    <t>Dot.podm.dla pozost.jedn.sektora fin.publ.</t>
  </si>
  <si>
    <t>Uposażenie funkcjonariuszy</t>
  </si>
  <si>
    <t>Pozostałe wynagrodzenie funkcjonariuszy</t>
  </si>
  <si>
    <t>Nagrody roczne dla funkcjonariuszy</t>
  </si>
  <si>
    <t>Zakup leków i mat.medycznych</t>
  </si>
  <si>
    <t>Zakup środków żywności</t>
  </si>
  <si>
    <t>4520</t>
  </si>
  <si>
    <t>Opłaty na rzecz budżetu jst.</t>
  </si>
  <si>
    <t>Zakup sprzętu i uzbrojenia</t>
  </si>
  <si>
    <t>Dział 757 Obsługa długu publicznego</t>
  </si>
  <si>
    <t>Obsługa kredytów podmiotów krajowych</t>
  </si>
  <si>
    <t>Razem rozdział 75702</t>
  </si>
  <si>
    <t>Rozliczenie z tyt.gwar.i por.udzielonych przez jst.</t>
  </si>
  <si>
    <t>4240</t>
  </si>
  <si>
    <t>Zakup pomocy naukowych</t>
  </si>
  <si>
    <t>4280</t>
  </si>
  <si>
    <t>Zakup usług zdrowotnych</t>
  </si>
  <si>
    <t>Gimnazja specjalne</t>
  </si>
  <si>
    <t>Razem rozdział 80111</t>
  </si>
  <si>
    <t xml:space="preserve">Dotacje celowe realizowane na podstawie porozumien </t>
  </si>
  <si>
    <t>Szpitale ogólne</t>
  </si>
  <si>
    <t>Razem rozdział 85111</t>
  </si>
  <si>
    <t>Odsetki od nieterminowych wpłat z podatków</t>
  </si>
  <si>
    <t>Razem rozdział 85156</t>
  </si>
  <si>
    <t>Dotacja celowa z budżetu na finansowanie lub dofinansowanie zadań zleconych do realizacji pozostałym jednostkom nie zaliczanym do sektora finansów publicznych</t>
  </si>
  <si>
    <t>Świadczenia społeczne</t>
  </si>
  <si>
    <t>Poradnie psychologiczno-pedagogiczne oraz inne poradnie specjalistyczne</t>
  </si>
  <si>
    <t>Razem rozdział 85406</t>
  </si>
  <si>
    <t>3240</t>
  </si>
  <si>
    <t>Stypendia i inne formy pomocy dla uczniów</t>
  </si>
  <si>
    <t xml:space="preserve">Dział 921 Kultura i ochrona dziedzictwa narodowego </t>
  </si>
  <si>
    <t>Razem rozdział 92195</t>
  </si>
  <si>
    <t>Razem dział 921</t>
  </si>
  <si>
    <t>Razem dział 926</t>
  </si>
  <si>
    <t>Razem rozdział 92695</t>
  </si>
  <si>
    <t>Ogółem wydatki</t>
  </si>
  <si>
    <t>Dział 926 Kultura fizyczna i sport</t>
  </si>
  <si>
    <t>Razem rozdział 80102</t>
  </si>
  <si>
    <t>Podróże służbowe krajowe</t>
  </si>
  <si>
    <t>Pozostałe odsetki</t>
  </si>
  <si>
    <t>Kary i odszkodowania wypłacane na rzecz osób fizycznych</t>
  </si>
  <si>
    <t>Placówki opiekuńczo-wychowawcze</t>
  </si>
  <si>
    <t>Wynagrodzenia członków korpusu cywilnego</t>
  </si>
  <si>
    <t>Wypłaty z tytułu poręczeń spłaty krajowych kredytów bankowych</t>
  </si>
  <si>
    <t>Zakup energii</t>
  </si>
  <si>
    <t>Zakup usług remontowych</t>
  </si>
  <si>
    <t>Składki na ubezpieczenia zdrowotne oraz świadczenia dla osób nie objetych obowiązkiem ubezpieczenia zdrowotnego</t>
  </si>
  <si>
    <t>Dział 010 Rolnictwo i łowiectwo</t>
  </si>
  <si>
    <t>Podatek od nieruchomości</t>
  </si>
  <si>
    <t>Dot.przedm.dla jedn.nie zal. do  s.f.p..</t>
  </si>
  <si>
    <t>Nagr.i wyd.osob. zaliczane do wynagr.</t>
  </si>
  <si>
    <t>Rozl. z bankami związane z obsł. dł. publ.o</t>
  </si>
  <si>
    <t xml:space="preserve">Wypłaty z tytułu pozostałych por.i gwar. </t>
  </si>
  <si>
    <t>Gospodarka leśna</t>
  </si>
  <si>
    <t>Składki na Fundusz Pracy</t>
  </si>
  <si>
    <t>Dotacje celowe przekazane gminie na zadania bieżące realizowane na podstawie porozumień między jst.</t>
  </si>
  <si>
    <t>Razem rozdział 75095</t>
  </si>
  <si>
    <t>Uposażenie oraz świadczenie wypł.  przez rok</t>
  </si>
  <si>
    <t>Rezerwa ogólna</t>
  </si>
  <si>
    <t>Razem rozdział 75704</t>
  </si>
  <si>
    <t>80146</t>
  </si>
  <si>
    <t>Dokształcenie i doskonalenie nauczycieli</t>
  </si>
  <si>
    <t>Razem rozdział 80146</t>
  </si>
  <si>
    <t>Biblioteki</t>
  </si>
  <si>
    <t>Razem rozdział 92116</t>
  </si>
  <si>
    <t>Razem dział 757</t>
  </si>
  <si>
    <t>Dział 852 Pomoc społeczna</t>
  </si>
  <si>
    <t>Razem rozdział 85201</t>
  </si>
  <si>
    <t>Razem rozdział 85202</t>
  </si>
  <si>
    <t>Razem rozdział 85204</t>
  </si>
  <si>
    <t>Razem rozdział 85218</t>
  </si>
  <si>
    <t>Razem dział 852</t>
  </si>
  <si>
    <t>Dział 853 Pozostałe zadania w  zakresie polityki społecznej</t>
  </si>
  <si>
    <t>Pozostałe podatki na rzecz budżetu jst</t>
  </si>
  <si>
    <t>Opłaty na rzecz budżetów jst</t>
  </si>
  <si>
    <t>02002</t>
  </si>
  <si>
    <t>Dot.celowe przekaz. Na zad. w ramach por. m. Jst</t>
  </si>
  <si>
    <t>Dot. Przedmiotowa przekaz. Jednostce</t>
  </si>
  <si>
    <t>Wynagrodzenie członków korpusu cywilnego</t>
  </si>
  <si>
    <t>Wydatki inwestycyjne jst.</t>
  </si>
  <si>
    <t>Pozostałe podatki na rzecz budżetu jst.</t>
  </si>
  <si>
    <t>opłaty na rzecz budzetu państwa</t>
  </si>
  <si>
    <t>4600</t>
  </si>
  <si>
    <t>Kary i odszkodowania wypłacane na rzecz</t>
  </si>
  <si>
    <t>4810</t>
  </si>
  <si>
    <t>4580</t>
  </si>
  <si>
    <t>4590</t>
  </si>
  <si>
    <t>4570</t>
  </si>
  <si>
    <t>Razem wydatki</t>
  </si>
  <si>
    <t>nazwa wydatku</t>
  </si>
  <si>
    <t>Plan na 2004r.</t>
  </si>
  <si>
    <t>Przewidywane wykonanie w 2003r.</t>
  </si>
  <si>
    <t>tabela nr 2 - Wydatki według paragrafów</t>
  </si>
  <si>
    <t>Sporzadziła: Barbara Myślińska</t>
  </si>
  <si>
    <t>Dział 010</t>
  </si>
  <si>
    <t>Dział 020</t>
  </si>
  <si>
    <t xml:space="preserve">Dział </t>
  </si>
  <si>
    <t>Razem rozdział 80195</t>
  </si>
  <si>
    <t>Zmniejszenie</t>
  </si>
  <si>
    <t>Zwiększenie</t>
  </si>
  <si>
    <t>Pomoc dla repatriantów</t>
  </si>
  <si>
    <t>Szkoły zawodowe specjalne</t>
  </si>
  <si>
    <t xml:space="preserve">Wynagrodzenia osobowe pracowników </t>
  </si>
  <si>
    <t>Razem rozdział 85334</t>
  </si>
  <si>
    <t>Razem rozdział 85446</t>
  </si>
  <si>
    <t>Razem rozdział 85495</t>
  </si>
  <si>
    <t xml:space="preserve">Świadczenia rodzinne oraz składki na ubezpieczenia emerytalne i rentowe z ubezpieczenia społecznego </t>
  </si>
  <si>
    <t>Koszty postępowania sądowego i prokuratorskiego</t>
  </si>
  <si>
    <t>Jednostki specjalistycznego poradnictwa, mieszkania chronione i ośrodki interwencji kryzysowej</t>
  </si>
  <si>
    <t>Razem rozdział 85220</t>
  </si>
  <si>
    <t>Razem rozdział 85212</t>
  </si>
  <si>
    <t>Razem rozdział 71015</t>
  </si>
  <si>
    <t>Razem rozdział 75019</t>
  </si>
  <si>
    <t>Składki na ubezpieczenie społeczne</t>
  </si>
  <si>
    <t>3249</t>
  </si>
  <si>
    <t>wynagrodzenia bezosobowe</t>
  </si>
  <si>
    <t>Razem rozdział 85324</t>
  </si>
  <si>
    <t>Wynagrodzenia bezosobowe</t>
  </si>
  <si>
    <t>opłaty za usługi internetowe</t>
  </si>
  <si>
    <t>zakup pomocy naukowych</t>
  </si>
  <si>
    <t>zakup usług zdrowotnych</t>
  </si>
  <si>
    <t>Opłaty za usługi internetowe</t>
  </si>
  <si>
    <t>Wynagrodzenie bezosobowe</t>
  </si>
  <si>
    <t>Usługi internetowe</t>
  </si>
  <si>
    <t>Nagrody motywacyjne</t>
  </si>
  <si>
    <t>Opłąty za usługi internetowe</t>
  </si>
  <si>
    <t>Wskaźnik %</t>
  </si>
  <si>
    <t>Struktura wydatków</t>
  </si>
  <si>
    <t>Wydatki osobowe nie zaliczane do wyn.</t>
  </si>
  <si>
    <t>Równoważniki pieniężne i ekw. Dla funkcj.</t>
  </si>
  <si>
    <t>4610</t>
  </si>
  <si>
    <t>Wydatki osobowe nie zal. do wynagrodzeń</t>
  </si>
  <si>
    <t>Równoważniki pieniężne i ekw. dla funkcj.</t>
  </si>
  <si>
    <t>Razem rozdział 80134</t>
  </si>
  <si>
    <t>Razem rozdział 85395</t>
  </si>
  <si>
    <t>Wydatki na zakupy inwestycyjne jst</t>
  </si>
  <si>
    <t>Odsetki i dyskonto  od krajowych skarb. Pap. Wart.  Oraz od krajowych pożyczek i kredytów</t>
  </si>
  <si>
    <t>Wypłaty z tytułu gwarancji i poręczeń</t>
  </si>
  <si>
    <t xml:space="preserve">Dotacje celowe przekazane dla powiatu na zadania bież. Realizowane na podst. Porozumień między jst </t>
  </si>
  <si>
    <t>Dotacja podmiotowa z budżetu dla jednostek niezaliczanych do sfp</t>
  </si>
  <si>
    <t>Dział 803  Szkolnictwo wyższe</t>
  </si>
  <si>
    <t>Pomoc materialna dla studentów</t>
  </si>
  <si>
    <t>Razem rozdział 80309</t>
  </si>
  <si>
    <t>Razem dział 803</t>
  </si>
  <si>
    <t>3248</t>
  </si>
  <si>
    <t>4118</t>
  </si>
  <si>
    <t>Podróże służbowe zagraniczne</t>
  </si>
  <si>
    <t>Podpisy członków Zarządu:</t>
  </si>
  <si>
    <t>Wpłaty na PFRON</t>
  </si>
  <si>
    <t>Zakup usług medycznych</t>
  </si>
  <si>
    <t>8070</t>
  </si>
  <si>
    <t>Komisje egzaminaqcyjne</t>
  </si>
  <si>
    <t>Razem rozdział 80145</t>
  </si>
  <si>
    <t>Stypendia i zasiłki dla studentów</t>
  </si>
  <si>
    <t>Wynagrozdenia bezosobowe</t>
  </si>
  <si>
    <t>Zakład Usług Zdrowotnych</t>
  </si>
  <si>
    <t xml:space="preserve">Pokrycie ujemnego wyniku finansowego i przejętych zobowiązań po likwidowanych i przekształcanych jedn.zaliczanych do fp </t>
  </si>
  <si>
    <t>Sprzadziła: Anna Hajduk-Kowalczyk</t>
  </si>
  <si>
    <t>Składki ubezpieczenia społecznego</t>
  </si>
  <si>
    <t>Wydatki osobowe niezaliczne do wynagrodzeń</t>
  </si>
  <si>
    <t>Dodatkowe wynagrodzenia roczne</t>
  </si>
  <si>
    <t>Plan  wydatków budżetowych Powiatu Sępoleńskiego na 2006 r.</t>
  </si>
  <si>
    <t>Przewidywane wykonanie roku 2005</t>
  </si>
  <si>
    <t>Plan na 2006r.</t>
  </si>
  <si>
    <t>Dotacja celowa z budżetu na finansowanie zadań zleconych do realizacji stowarzyszeniom</t>
  </si>
  <si>
    <t>Komenda powiatowa policji</t>
  </si>
  <si>
    <t>Razem rozdział 75405</t>
  </si>
  <si>
    <t>Zakup srodków żywności</t>
  </si>
  <si>
    <t>Zwrot dotacji wykorzystanych niezgodnie z przeznaczeniem lub pobranych w nadmiernej wysokości</t>
  </si>
  <si>
    <t>Razem rozdział 85295</t>
  </si>
  <si>
    <t>Dot.przedmiotowa dla jedn.nie zal. Do s.f.p.</t>
  </si>
  <si>
    <t>otacja celowa z budżetu na finansowanie lub dofinansowanie zadań zlecvonych do trealizacji stowarzyszeniom</t>
  </si>
  <si>
    <t>Zadania w zakresie kultury fizycznej i  sportu</t>
  </si>
  <si>
    <t>Razem rozdział 92605</t>
  </si>
  <si>
    <t>Zakup materiałów i wyposazenia</t>
  </si>
  <si>
    <t>Dział 758 Różne rozliczenia</t>
  </si>
  <si>
    <t>Rezerwa ogólna i celowa</t>
  </si>
  <si>
    <t>Razem dział 758</t>
  </si>
  <si>
    <t xml:space="preserve">Rezerwa ogólna </t>
  </si>
  <si>
    <t>Podróze słuzbowe zagraniczne</t>
  </si>
  <si>
    <t xml:space="preserve">Załącznik nr 2 do projektu budżetu Powiatu Sepoleńskiego na rok 2006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</si>
</sst>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_-* #,##0.00000\ _z_ł_-;\-* #,##0.00000\ _z_ł_-;_-* &quot;-&quot;??\ _z_ł_-;_-@_-"/>
    <numFmt numFmtId="169" formatCode="_-* #,##0.000000\ _z_ł_-;\-* #,##0.000000\ _z_ł_-;_-* &quot;-&quot;??\ _z_ł_-;_-@_-"/>
    <numFmt numFmtId="170" formatCode="_-* #,##0.0\ _z_ł_-;\-* #,##0.0\ _z_ł_-;_-* &quot;-&quot;??\ _z_ł_-;_-@_-"/>
    <numFmt numFmtId="171" formatCode="#,##0.00;[Red]#,##0.00"/>
    <numFmt numFmtId="172" formatCode="#,##0.00_ ;\-#,##0.00\ "/>
    <numFmt numFmtId="173" formatCode="0.0%"/>
  </numFmts>
  <fonts count="24">
    <font>
      <sz val="10"/>
      <name val="Arial CE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8"/>
      <name val="Times New Roman Baltic"/>
      <family val="1"/>
    </font>
    <font>
      <b/>
      <i/>
      <sz val="8"/>
      <name val="Arial CE"/>
      <family val="0"/>
    </font>
    <font>
      <sz val="10"/>
      <name val="Times New Roman"/>
      <family val="1"/>
    </font>
    <font>
      <b/>
      <i/>
      <sz val="11"/>
      <color indexed="18"/>
      <name val="Times New Roman"/>
      <family val="1"/>
    </font>
    <font>
      <b/>
      <sz val="16"/>
      <color indexed="18"/>
      <name val="Book Antiqua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color indexed="18"/>
      <name val="Times New Roman"/>
      <family val="1"/>
    </font>
    <font>
      <b/>
      <sz val="8"/>
      <name val="Book Antiqua"/>
      <family val="1"/>
    </font>
    <font>
      <b/>
      <sz val="12"/>
      <color indexed="18"/>
      <name val="Book Antiqua"/>
      <family val="1"/>
    </font>
    <font>
      <b/>
      <i/>
      <sz val="9"/>
      <name val="Times New Roman"/>
      <family val="1"/>
    </font>
    <font>
      <b/>
      <i/>
      <u val="single"/>
      <sz val="9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 Baltic"/>
      <family val="1"/>
    </font>
    <font>
      <b/>
      <i/>
      <u val="single"/>
      <sz val="10"/>
      <name val="Times New Roman"/>
      <family val="1"/>
    </font>
    <font>
      <b/>
      <i/>
      <sz val="10"/>
      <name val="Arial CE"/>
      <family val="2"/>
    </font>
    <font>
      <i/>
      <sz val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40"/>
        <bgColor indexed="41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49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2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vertical="center" wrapText="1"/>
    </xf>
    <xf numFmtId="4" fontId="18" fillId="0" borderId="3" xfId="0" applyNumberFormat="1" applyFont="1" applyBorder="1" applyAlignment="1">
      <alignment/>
    </xf>
    <xf numFmtId="0" fontId="16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4" fontId="18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4" fontId="18" fillId="0" borderId="6" xfId="0" applyNumberFormat="1" applyFont="1" applyBorder="1" applyAlignment="1">
      <alignment/>
    </xf>
    <xf numFmtId="4" fontId="18" fillId="0" borderId="7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18" fillId="2" borderId="3" xfId="0" applyFont="1" applyFill="1" applyBorder="1" applyAlignment="1">
      <alignment horizontal="left"/>
    </xf>
    <xf numFmtId="0" fontId="18" fillId="0" borderId="3" xfId="0" applyFont="1" applyFill="1" applyBorder="1" applyAlignment="1">
      <alignment vertical="center" wrapText="1"/>
    </xf>
    <xf numFmtId="4" fontId="23" fillId="0" borderId="3" xfId="0" applyNumberFormat="1" applyFont="1" applyBorder="1" applyAlignment="1">
      <alignment/>
    </xf>
    <xf numFmtId="0" fontId="18" fillId="0" borderId="4" xfId="0" applyFont="1" applyBorder="1" applyAlignment="1">
      <alignment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4" fontId="23" fillId="0" borderId="6" xfId="0" applyNumberFormat="1" applyFont="1" applyBorder="1" applyAlignment="1">
      <alignment/>
    </xf>
    <xf numFmtId="0" fontId="16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vertical="center" wrapText="1"/>
    </xf>
    <xf numFmtId="4" fontId="23" fillId="0" borderId="12" xfId="0" applyNumberFormat="1" applyFont="1" applyBorder="1" applyAlignment="1">
      <alignment/>
    </xf>
    <xf numFmtId="4" fontId="23" fillId="0" borderId="13" xfId="0" applyNumberFormat="1" applyFont="1" applyBorder="1" applyAlignment="1">
      <alignment/>
    </xf>
    <xf numFmtId="4" fontId="22" fillId="4" borderId="2" xfId="0" applyNumberFormat="1" applyFont="1" applyFill="1" applyBorder="1" applyAlignment="1">
      <alignment/>
    </xf>
    <xf numFmtId="4" fontId="22" fillId="4" borderId="8" xfId="0" applyNumberFormat="1" applyFont="1" applyFill="1" applyBorder="1" applyAlignment="1">
      <alignment/>
    </xf>
    <xf numFmtId="0" fontId="23" fillId="0" borderId="0" xfId="0" applyFont="1" applyAlignment="1">
      <alignment/>
    </xf>
    <xf numFmtId="43" fontId="16" fillId="0" borderId="3" xfId="15" applyNumberFormat="1" applyFont="1" applyBorder="1" applyAlignment="1">
      <alignment horizontal="right" vertical="center" wrapText="1"/>
    </xf>
    <xf numFmtId="4" fontId="18" fillId="0" borderId="3" xfId="0" applyNumberFormat="1" applyFont="1" applyBorder="1" applyAlignment="1">
      <alignment vertical="center" wrapText="1"/>
    </xf>
    <xf numFmtId="4" fontId="18" fillId="0" borderId="3" xfId="0" applyNumberFormat="1" applyFont="1" applyBorder="1" applyAlignment="1">
      <alignment/>
    </xf>
    <xf numFmtId="4" fontId="18" fillId="0" borderId="3" xfId="0" applyNumberFormat="1" applyFont="1" applyBorder="1" applyAlignment="1">
      <alignment horizontal="right" vertical="center" wrapText="1"/>
    </xf>
    <xf numFmtId="49" fontId="16" fillId="0" borderId="3" xfId="0" applyNumberFormat="1" applyFont="1" applyBorder="1" applyAlignment="1">
      <alignment horizontal="center" vertical="center"/>
    </xf>
    <xf numFmtId="4" fontId="18" fillId="0" borderId="3" xfId="0" applyNumberFormat="1" applyFont="1" applyBorder="1" applyAlignment="1">
      <alignment horizontal="right"/>
    </xf>
    <xf numFmtId="49" fontId="16" fillId="0" borderId="3" xfId="0" applyNumberFormat="1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4" fontId="2" fillId="6" borderId="2" xfId="0" applyNumberFormat="1" applyFont="1" applyFill="1" applyBorder="1" applyAlignment="1">
      <alignment/>
    </xf>
    <xf numFmtId="4" fontId="2" fillId="6" borderId="2" xfId="0" applyNumberFormat="1" applyFont="1" applyFill="1" applyBorder="1" applyAlignment="1">
      <alignment horizontal="right"/>
    </xf>
    <xf numFmtId="4" fontId="2" fillId="7" borderId="2" xfId="0" applyNumberFormat="1" applyFont="1" applyFill="1" applyBorder="1" applyAlignment="1">
      <alignment/>
    </xf>
    <xf numFmtId="4" fontId="19" fillId="4" borderId="2" xfId="0" applyNumberFormat="1" applyFont="1" applyFill="1" applyBorder="1" applyAlignment="1">
      <alignment/>
    </xf>
    <xf numFmtId="4" fontId="0" fillId="0" borderId="0" xfId="0" applyNumberFormat="1" applyAlignment="1">
      <alignment horizontal="right"/>
    </xf>
    <xf numFmtId="4" fontId="18" fillId="0" borderId="3" xfId="0" applyNumberFormat="1" applyFont="1" applyBorder="1" applyAlignment="1">
      <alignment horizontal="right" wrapText="1"/>
    </xf>
    <xf numFmtId="4" fontId="18" fillId="0" borderId="12" xfId="0" applyNumberFormat="1" applyFont="1" applyBorder="1" applyAlignment="1">
      <alignment horizontal="right" wrapText="1"/>
    </xf>
    <xf numFmtId="4" fontId="6" fillId="0" borderId="0" xfId="0" applyNumberFormat="1" applyFont="1" applyAlignment="1">
      <alignment horizontal="right" wrapText="1"/>
    </xf>
    <xf numFmtId="4" fontId="0" fillId="0" borderId="0" xfId="0" applyNumberFormat="1" applyAlignment="1">
      <alignment horizontal="right" wrapText="1"/>
    </xf>
    <xf numFmtId="0" fontId="16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vertical="center" wrapText="1"/>
    </xf>
    <xf numFmtId="4" fontId="18" fillId="0" borderId="12" xfId="0" applyNumberFormat="1" applyFont="1" applyBorder="1" applyAlignment="1">
      <alignment/>
    </xf>
    <xf numFmtId="4" fontId="10" fillId="8" borderId="2" xfId="0" applyNumberFormat="1" applyFont="1" applyFill="1" applyBorder="1" applyAlignment="1">
      <alignment/>
    </xf>
    <xf numFmtId="0" fontId="16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vertical="center" wrapText="1"/>
    </xf>
    <xf numFmtId="4" fontId="18" fillId="0" borderId="14" xfId="0" applyNumberFormat="1" applyFont="1" applyBorder="1" applyAlignment="1">
      <alignment vertical="center" wrapText="1"/>
    </xf>
    <xf numFmtId="4" fontId="18" fillId="0" borderId="14" xfId="0" applyNumberFormat="1" applyFont="1" applyBorder="1" applyAlignment="1">
      <alignment horizontal="right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/>
    </xf>
    <xf numFmtId="4" fontId="23" fillId="0" borderId="3" xfId="0" applyNumberFormat="1" applyFont="1" applyBorder="1" applyAlignment="1">
      <alignment horizontal="right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vertical="center" wrapText="1"/>
    </xf>
    <xf numFmtId="0" fontId="16" fillId="0" borderId="19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vertical="center" wrapText="1"/>
    </xf>
    <xf numFmtId="4" fontId="18" fillId="0" borderId="18" xfId="0" applyNumberFormat="1" applyFont="1" applyBorder="1" applyAlignment="1">
      <alignment horizontal="right"/>
    </xf>
    <xf numFmtId="4" fontId="23" fillId="0" borderId="3" xfId="0" applyNumberFormat="1" applyFont="1" applyBorder="1" applyAlignment="1">
      <alignment horizontal="right"/>
    </xf>
    <xf numFmtId="4" fontId="23" fillId="0" borderId="14" xfId="0" applyNumberFormat="1" applyFont="1" applyBorder="1" applyAlignment="1">
      <alignment horizontal="right"/>
    </xf>
    <xf numFmtId="4" fontId="22" fillId="9" borderId="20" xfId="0" applyNumberFormat="1" applyFont="1" applyFill="1" applyBorder="1" applyAlignment="1">
      <alignment horizontal="right"/>
    </xf>
    <xf numFmtId="9" fontId="0" fillId="9" borderId="1" xfId="0" applyNumberFormat="1" applyFill="1" applyBorder="1" applyAlignment="1">
      <alignment/>
    </xf>
    <xf numFmtId="9" fontId="0" fillId="9" borderId="21" xfId="0" applyNumberFormat="1" applyFill="1" applyBorder="1" applyAlignment="1">
      <alignment/>
    </xf>
    <xf numFmtId="9" fontId="0" fillId="0" borderId="22" xfId="0" applyNumberFormat="1" applyBorder="1" applyAlignment="1">
      <alignment/>
    </xf>
    <xf numFmtId="9" fontId="0" fillId="0" borderId="23" xfId="0" applyNumberFormat="1" applyBorder="1" applyAlignment="1">
      <alignment/>
    </xf>
    <xf numFmtId="9" fontId="0" fillId="0" borderId="4" xfId="0" applyNumberFormat="1" applyBorder="1" applyAlignment="1">
      <alignment/>
    </xf>
    <xf numFmtId="9" fontId="0" fillId="0" borderId="3" xfId="0" applyNumberForma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4" fontId="23" fillId="0" borderId="12" xfId="0" applyNumberFormat="1" applyFont="1" applyBorder="1" applyAlignment="1">
      <alignment horizontal="right" wrapText="1"/>
    </xf>
    <xf numFmtId="4" fontId="10" fillId="8" borderId="2" xfId="0" applyNumberFormat="1" applyFont="1" applyFill="1" applyBorder="1" applyAlignment="1">
      <alignment/>
    </xf>
    <xf numFmtId="4" fontId="10" fillId="8" borderId="2" xfId="0" applyNumberFormat="1" applyFont="1" applyFill="1" applyBorder="1" applyAlignment="1">
      <alignment horizontal="right"/>
    </xf>
    <xf numFmtId="171" fontId="10" fillId="8" borderId="2" xfId="0" applyNumberFormat="1" applyFont="1" applyFill="1" applyBorder="1" applyAlignment="1">
      <alignment vertical="center" wrapText="1"/>
    </xf>
    <xf numFmtId="4" fontId="10" fillId="8" borderId="2" xfId="0" applyNumberFormat="1" applyFont="1" applyFill="1" applyBorder="1" applyAlignment="1">
      <alignment horizontal="right" wrapText="1"/>
    </xf>
    <xf numFmtId="4" fontId="23" fillId="0" borderId="4" xfId="0" applyNumberFormat="1" applyFont="1" applyBorder="1" applyAlignment="1">
      <alignment horizontal="right" vertical="center" wrapText="1"/>
    </xf>
    <xf numFmtId="0" fontId="0" fillId="0" borderId="0" xfId="0" applyFill="1" applyAlignment="1">
      <alignment horizontal="center"/>
    </xf>
    <xf numFmtId="49" fontId="16" fillId="0" borderId="12" xfId="0" applyNumberFormat="1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vertical="center"/>
    </xf>
    <xf numFmtId="4" fontId="18" fillId="0" borderId="12" xfId="0" applyNumberFormat="1" applyFont="1" applyFill="1" applyBorder="1" applyAlignment="1">
      <alignment horizontal="right" wrapText="1"/>
    </xf>
    <xf numFmtId="4" fontId="10" fillId="8" borderId="2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4" fontId="18" fillId="0" borderId="12" xfId="0" applyNumberFormat="1" applyFont="1" applyFill="1" applyBorder="1" applyAlignment="1">
      <alignment horizontal="right" vertical="center"/>
    </xf>
    <xf numFmtId="4" fontId="18" fillId="0" borderId="14" xfId="0" applyNumberFormat="1" applyFont="1" applyBorder="1" applyAlignment="1">
      <alignment/>
    </xf>
    <xf numFmtId="4" fontId="18" fillId="0" borderId="12" xfId="0" applyNumberFormat="1" applyFont="1" applyBorder="1" applyAlignment="1">
      <alignment vertical="center" wrapText="1"/>
    </xf>
    <xf numFmtId="4" fontId="18" fillId="0" borderId="12" xfId="0" applyNumberFormat="1" applyFont="1" applyBorder="1" applyAlignment="1">
      <alignment horizontal="right"/>
    </xf>
    <xf numFmtId="4" fontId="18" fillId="0" borderId="24" xfId="0" applyNumberFormat="1" applyFont="1" applyBorder="1" applyAlignment="1">
      <alignment horizontal="right" wrapText="1"/>
    </xf>
    <xf numFmtId="4" fontId="18" fillId="0" borderId="25" xfId="0" applyNumberFormat="1" applyFont="1" applyBorder="1" applyAlignment="1">
      <alignment horizontal="right"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2" fontId="23" fillId="0" borderId="12" xfId="0" applyNumberFormat="1" applyFont="1" applyBorder="1" applyAlignment="1">
      <alignment horizontal="right" vertical="center" wrapText="1"/>
    </xf>
    <xf numFmtId="9" fontId="0" fillId="0" borderId="6" xfId="0" applyNumberFormat="1" applyBorder="1" applyAlignment="1">
      <alignment/>
    </xf>
    <xf numFmtId="0" fontId="10" fillId="8" borderId="26" xfId="0" applyFont="1" applyFill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6" fillId="0" borderId="28" xfId="0" applyFont="1" applyBorder="1" applyAlignment="1">
      <alignment horizontal="center" vertical="center"/>
    </xf>
    <xf numFmtId="0" fontId="18" fillId="0" borderId="28" xfId="0" applyFont="1" applyBorder="1" applyAlignment="1">
      <alignment vertical="center" wrapText="1"/>
    </xf>
    <xf numFmtId="4" fontId="18" fillId="0" borderId="28" xfId="0" applyNumberFormat="1" applyFont="1" applyBorder="1" applyAlignment="1">
      <alignment horizontal="right"/>
    </xf>
    <xf numFmtId="4" fontId="18" fillId="0" borderId="28" xfId="0" applyNumberFormat="1" applyFont="1" applyBorder="1" applyAlignment="1">
      <alignment horizontal="right" wrapText="1"/>
    </xf>
    <xf numFmtId="0" fontId="23" fillId="0" borderId="24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horizontal="right" wrapText="1"/>
    </xf>
    <xf numFmtId="16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6" fillId="0" borderId="24" xfId="0" applyFont="1" applyBorder="1" applyAlignment="1">
      <alignment horizontal="left" vertical="center"/>
    </xf>
    <xf numFmtId="49" fontId="16" fillId="0" borderId="14" xfId="0" applyNumberFormat="1" applyFont="1" applyBorder="1" applyAlignment="1">
      <alignment horizontal="center" vertical="center"/>
    </xf>
    <xf numFmtId="0" fontId="18" fillId="0" borderId="24" xfId="0" applyFont="1" applyBorder="1" applyAlignment="1">
      <alignment vertical="center" wrapText="1"/>
    </xf>
    <xf numFmtId="4" fontId="7" fillId="3" borderId="2" xfId="0" applyNumberFormat="1" applyFont="1" applyFill="1" applyBorder="1" applyAlignment="1">
      <alignment horizontal="right" vertical="center"/>
    </xf>
    <xf numFmtId="0" fontId="7" fillId="3" borderId="15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/>
    </xf>
    <xf numFmtId="4" fontId="23" fillId="0" borderId="29" xfId="0" applyNumberFormat="1" applyFont="1" applyBorder="1" applyAlignment="1">
      <alignment/>
    </xf>
    <xf numFmtId="4" fontId="10" fillId="8" borderId="15" xfId="0" applyNumberFormat="1" applyFont="1" applyFill="1" applyBorder="1" applyAlignment="1">
      <alignment/>
    </xf>
    <xf numFmtId="4" fontId="18" fillId="0" borderId="29" xfId="0" applyNumberFormat="1" applyFont="1" applyBorder="1" applyAlignment="1">
      <alignment/>
    </xf>
    <xf numFmtId="4" fontId="10" fillId="8" borderId="15" xfId="0" applyNumberFormat="1" applyFont="1" applyFill="1" applyBorder="1" applyAlignment="1">
      <alignment/>
    </xf>
    <xf numFmtId="4" fontId="2" fillId="6" borderId="15" xfId="0" applyNumberFormat="1" applyFont="1" applyFill="1" applyBorder="1" applyAlignment="1">
      <alignment/>
    </xf>
    <xf numFmtId="172" fontId="16" fillId="0" borderId="27" xfId="15" applyNumberFormat="1" applyFont="1" applyBorder="1" applyAlignment="1">
      <alignment horizontal="right" vertical="center" wrapText="1"/>
    </xf>
    <xf numFmtId="171" fontId="10" fillId="8" borderId="15" xfId="0" applyNumberFormat="1" applyFont="1" applyFill="1" applyBorder="1" applyAlignment="1">
      <alignment vertical="center" wrapText="1"/>
    </xf>
    <xf numFmtId="4" fontId="18" fillId="0" borderId="27" xfId="0" applyNumberFormat="1" applyFont="1" applyBorder="1" applyAlignment="1">
      <alignment vertical="center" wrapText="1"/>
    </xf>
    <xf numFmtId="4" fontId="18" fillId="0" borderId="29" xfId="0" applyNumberFormat="1" applyFont="1" applyBorder="1" applyAlignment="1">
      <alignment vertical="center" wrapText="1"/>
    </xf>
    <xf numFmtId="4" fontId="18" fillId="0" borderId="27" xfId="0" applyNumberFormat="1" applyFont="1" applyBorder="1" applyAlignment="1">
      <alignment/>
    </xf>
    <xf numFmtId="4" fontId="10" fillId="8" borderId="15" xfId="0" applyNumberFormat="1" applyFont="1" applyFill="1" applyBorder="1" applyAlignment="1">
      <alignment horizontal="right"/>
    </xf>
    <xf numFmtId="4" fontId="18" fillId="0" borderId="30" xfId="0" applyNumberFormat="1" applyFont="1" applyBorder="1" applyAlignment="1">
      <alignment/>
    </xf>
    <xf numFmtId="4" fontId="18" fillId="0" borderId="27" xfId="0" applyNumberFormat="1" applyFont="1" applyBorder="1" applyAlignment="1">
      <alignment horizontal="right" vertical="center" wrapText="1"/>
    </xf>
    <xf numFmtId="4" fontId="18" fillId="0" borderId="29" xfId="0" applyNumberFormat="1" applyFont="1" applyBorder="1" applyAlignment="1">
      <alignment horizontal="right" vertical="center" wrapText="1"/>
    </xf>
    <xf numFmtId="4" fontId="18" fillId="0" borderId="29" xfId="0" applyNumberFormat="1" applyFont="1" applyFill="1" applyBorder="1" applyAlignment="1">
      <alignment vertical="center"/>
    </xf>
    <xf numFmtId="4" fontId="18" fillId="0" borderId="29" xfId="0" applyNumberFormat="1" applyFont="1" applyFill="1" applyBorder="1" applyAlignment="1">
      <alignment horizontal="right" vertical="center"/>
    </xf>
    <xf numFmtId="4" fontId="10" fillId="8" borderId="15" xfId="0" applyNumberFormat="1" applyFont="1" applyFill="1" applyBorder="1" applyAlignment="1">
      <alignment vertical="center"/>
    </xf>
    <xf numFmtId="4" fontId="18" fillId="0" borderId="30" xfId="0" applyNumberFormat="1" applyFont="1" applyBorder="1" applyAlignment="1">
      <alignment vertical="center" wrapText="1"/>
    </xf>
    <xf numFmtId="4" fontId="2" fillId="6" borderId="15" xfId="0" applyNumberFormat="1" applyFont="1" applyFill="1" applyBorder="1" applyAlignment="1">
      <alignment horizontal="right"/>
    </xf>
    <xf numFmtId="4" fontId="18" fillId="0" borderId="27" xfId="0" applyNumberFormat="1" applyFont="1" applyBorder="1" applyAlignment="1">
      <alignment horizontal="right"/>
    </xf>
    <xf numFmtId="4" fontId="18" fillId="0" borderId="31" xfId="0" applyNumberFormat="1" applyFont="1" applyBorder="1" applyAlignment="1">
      <alignment horizontal="right"/>
    </xf>
    <xf numFmtId="4" fontId="18" fillId="0" borderId="29" xfId="0" applyNumberFormat="1" applyFont="1" applyBorder="1" applyAlignment="1">
      <alignment horizontal="right"/>
    </xf>
    <xf numFmtId="173" fontId="0" fillId="0" borderId="0" xfId="0" applyNumberFormat="1" applyAlignment="1">
      <alignment horizontal="center" vertical="center" wrapText="1"/>
    </xf>
    <xf numFmtId="173" fontId="7" fillId="3" borderId="8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 horizontal="center" wrapText="1"/>
    </xf>
    <xf numFmtId="173" fontId="1" fillId="0" borderId="0" xfId="0" applyNumberFormat="1" applyFont="1" applyBorder="1" applyAlignment="1">
      <alignment/>
    </xf>
    <xf numFmtId="173" fontId="0" fillId="0" borderId="0" xfId="0" applyNumberFormat="1" applyBorder="1" applyAlignment="1">
      <alignment/>
    </xf>
    <xf numFmtId="1" fontId="5" fillId="5" borderId="20" xfId="0" applyNumberFormat="1" applyFont="1" applyFill="1" applyBorder="1" applyAlignment="1">
      <alignment horizontal="center" vertical="center"/>
    </xf>
    <xf numFmtId="173" fontId="18" fillId="0" borderId="32" xfId="0" applyNumberFormat="1" applyFont="1" applyBorder="1" applyAlignment="1">
      <alignment/>
    </xf>
    <xf numFmtId="173" fontId="10" fillId="8" borderId="8" xfId="0" applyNumberFormat="1" applyFont="1" applyFill="1" applyBorder="1" applyAlignment="1">
      <alignment/>
    </xf>
    <xf numFmtId="173" fontId="21" fillId="0" borderId="7" xfId="0" applyNumberFormat="1" applyFont="1" applyBorder="1" applyAlignment="1">
      <alignment horizontal="left" vertical="center" wrapText="1"/>
    </xf>
    <xf numFmtId="173" fontId="10" fillId="8" borderId="8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4" fontId="18" fillId="0" borderId="12" xfId="0" applyNumberFormat="1" applyFont="1" applyBorder="1" applyAlignment="1">
      <alignment/>
    </xf>
    <xf numFmtId="173" fontId="18" fillId="0" borderId="6" xfId="0" applyNumberFormat="1" applyFont="1" applyBorder="1" applyAlignment="1">
      <alignment horizontal="center" vertical="center" wrapText="1"/>
    </xf>
    <xf numFmtId="173" fontId="18" fillId="0" borderId="33" xfId="0" applyNumberFormat="1" applyFont="1" applyBorder="1" applyAlignment="1">
      <alignment horizontal="center" vertical="center" wrapText="1"/>
    </xf>
    <xf numFmtId="173" fontId="18" fillId="0" borderId="32" xfId="0" applyNumberFormat="1" applyFont="1" applyBorder="1" applyAlignment="1">
      <alignment horizontal="center" vertical="center" wrapText="1"/>
    </xf>
    <xf numFmtId="173" fontId="10" fillId="8" borderId="8" xfId="0" applyNumberFormat="1" applyFont="1" applyFill="1" applyBorder="1" applyAlignment="1">
      <alignment horizontal="center"/>
    </xf>
    <xf numFmtId="173" fontId="2" fillId="6" borderId="8" xfId="0" applyNumberFormat="1" applyFont="1" applyFill="1" applyBorder="1" applyAlignment="1">
      <alignment horizontal="center"/>
    </xf>
    <xf numFmtId="173" fontId="18" fillId="0" borderId="6" xfId="0" applyNumberFormat="1" applyFont="1" applyBorder="1" applyAlignment="1">
      <alignment horizontal="center"/>
    </xf>
    <xf numFmtId="173" fontId="18" fillId="0" borderId="13" xfId="0" applyNumberFormat="1" applyFont="1" applyBorder="1" applyAlignment="1">
      <alignment horizontal="center"/>
    </xf>
    <xf numFmtId="173" fontId="18" fillId="0" borderId="32" xfId="0" applyNumberFormat="1" applyFont="1" applyBorder="1" applyAlignment="1">
      <alignment horizontal="center"/>
    </xf>
    <xf numFmtId="4" fontId="18" fillId="0" borderId="27" xfId="0" applyNumberFormat="1" applyFont="1" applyBorder="1" applyAlignment="1">
      <alignment horizontal="right" wrapText="1"/>
    </xf>
    <xf numFmtId="4" fontId="18" fillId="0" borderId="3" xfId="0" applyNumberFormat="1" applyFont="1" applyBorder="1" applyAlignment="1">
      <alignment vertical="center"/>
    </xf>
    <xf numFmtId="0" fontId="16" fillId="0" borderId="3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center" vertical="center" wrapText="1"/>
    </xf>
    <xf numFmtId="2" fontId="23" fillId="0" borderId="3" xfId="0" applyNumberFormat="1" applyFont="1" applyBorder="1" applyAlignment="1">
      <alignment horizontal="right" vertical="center" wrapText="1"/>
    </xf>
    <xf numFmtId="4" fontId="23" fillId="0" borderId="4" xfId="0" applyNumberFormat="1" applyFont="1" applyBorder="1" applyAlignment="1">
      <alignment horizontal="right" wrapText="1"/>
    </xf>
    <xf numFmtId="173" fontId="23" fillId="0" borderId="32" xfId="0" applyNumberFormat="1" applyFont="1" applyBorder="1" applyAlignment="1">
      <alignment horizontal="center"/>
    </xf>
    <xf numFmtId="173" fontId="23" fillId="0" borderId="32" xfId="0" applyNumberFormat="1" applyFont="1" applyBorder="1" applyAlignment="1">
      <alignment horizontal="center" vertical="center" wrapText="1"/>
    </xf>
    <xf numFmtId="173" fontId="10" fillId="8" borderId="8" xfId="0" applyNumberFormat="1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173" fontId="23" fillId="0" borderId="6" xfId="0" applyNumberFormat="1" applyFont="1" applyBorder="1" applyAlignment="1">
      <alignment horizontal="center" vertical="center" wrapText="1"/>
    </xf>
    <xf numFmtId="173" fontId="18" fillId="0" borderId="32" xfId="0" applyNumberFormat="1" applyFont="1" applyFill="1" applyBorder="1" applyAlignment="1">
      <alignment horizontal="center" vertical="center"/>
    </xf>
    <xf numFmtId="173" fontId="10" fillId="8" borderId="8" xfId="0" applyNumberFormat="1" applyFont="1" applyFill="1" applyBorder="1" applyAlignment="1">
      <alignment horizontal="center" vertical="center"/>
    </xf>
    <xf numFmtId="173" fontId="18" fillId="8" borderId="8" xfId="0" applyNumberFormat="1" applyFont="1" applyFill="1" applyBorder="1" applyAlignment="1">
      <alignment horizontal="center"/>
    </xf>
    <xf numFmtId="173" fontId="18" fillId="8" borderId="20" xfId="0" applyNumberFormat="1" applyFont="1" applyFill="1" applyBorder="1" applyAlignment="1">
      <alignment horizontal="center"/>
    </xf>
    <xf numFmtId="173" fontId="18" fillId="6" borderId="8" xfId="0" applyNumberFormat="1" applyFont="1" applyFill="1" applyBorder="1" applyAlignment="1">
      <alignment horizontal="center"/>
    </xf>
    <xf numFmtId="173" fontId="18" fillId="0" borderId="13" xfId="0" applyNumberFormat="1" applyFont="1" applyBorder="1" applyAlignment="1">
      <alignment horizontal="center" vertical="center" wrapText="1"/>
    </xf>
    <xf numFmtId="173" fontId="2" fillId="7" borderId="8" xfId="0" applyNumberFormat="1" applyFont="1" applyFill="1" applyBorder="1" applyAlignment="1">
      <alignment horizontal="center"/>
    </xf>
    <xf numFmtId="173" fontId="19" fillId="4" borderId="8" xfId="0" applyNumberFormat="1" applyFont="1" applyFill="1" applyBorder="1" applyAlignment="1">
      <alignment horizontal="center"/>
    </xf>
    <xf numFmtId="0" fontId="9" fillId="4" borderId="34" xfId="0" applyFont="1" applyFill="1" applyBorder="1" applyAlignment="1">
      <alignment horizontal="left" vertical="center" wrapText="1"/>
    </xf>
    <xf numFmtId="0" fontId="9" fillId="4" borderId="35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10" fillId="8" borderId="36" xfId="0" applyFont="1" applyFill="1" applyBorder="1" applyAlignment="1">
      <alignment horizontal="center" vertical="center"/>
    </xf>
    <xf numFmtId="0" fontId="10" fillId="8" borderId="26" xfId="0" applyFont="1" applyFill="1" applyBorder="1" applyAlignment="1">
      <alignment horizontal="center" vertical="center"/>
    </xf>
    <xf numFmtId="0" fontId="10" fillId="8" borderId="37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left" vertical="center"/>
    </xf>
    <xf numFmtId="0" fontId="21" fillId="0" borderId="39" xfId="0" applyFont="1" applyFill="1" applyBorder="1" applyAlignment="1">
      <alignment horizontal="left" vertical="center"/>
    </xf>
    <xf numFmtId="0" fontId="21" fillId="0" borderId="40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left"/>
    </xf>
    <xf numFmtId="0" fontId="10" fillId="8" borderId="2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0" fontId="10" fillId="8" borderId="17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/>
    </xf>
    <xf numFmtId="0" fontId="19" fillId="2" borderId="41" xfId="0" applyFont="1" applyFill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7" xfId="0" applyBorder="1" applyAlignment="1">
      <alignment horizontal="center" vertical="center"/>
    </xf>
    <xf numFmtId="0" fontId="21" fillId="0" borderId="38" xfId="0" applyFont="1" applyBorder="1" applyAlignment="1">
      <alignment horizontal="left" vertical="center" wrapText="1"/>
    </xf>
    <xf numFmtId="0" fontId="21" fillId="0" borderId="39" xfId="0" applyFont="1" applyBorder="1" applyAlignment="1">
      <alignment horizontal="left" vertical="center" wrapText="1"/>
    </xf>
    <xf numFmtId="0" fontId="21" fillId="0" borderId="40" xfId="0" applyFont="1" applyBorder="1" applyAlignment="1">
      <alignment horizontal="left" vertical="center" wrapText="1"/>
    </xf>
    <xf numFmtId="0" fontId="9" fillId="4" borderId="34" xfId="0" applyFont="1" applyFill="1" applyBorder="1" applyAlignment="1">
      <alignment horizontal="left" vertical="center"/>
    </xf>
    <xf numFmtId="0" fontId="9" fillId="4" borderId="35" xfId="0" applyFont="1" applyFill="1" applyBorder="1" applyAlignment="1">
      <alignment horizontal="left" vertical="center"/>
    </xf>
    <xf numFmtId="0" fontId="9" fillId="4" borderId="16" xfId="0" applyFont="1" applyFill="1" applyBorder="1" applyAlignment="1">
      <alignment horizontal="left" vertical="center"/>
    </xf>
    <xf numFmtId="0" fontId="21" fillId="0" borderId="43" xfId="0" applyFont="1" applyFill="1" applyBorder="1" applyAlignment="1">
      <alignment horizontal="left" vertical="center"/>
    </xf>
    <xf numFmtId="0" fontId="21" fillId="0" borderId="44" xfId="0" applyFont="1" applyFill="1" applyBorder="1" applyAlignment="1">
      <alignment horizontal="left" vertical="center"/>
    </xf>
    <xf numFmtId="0" fontId="21" fillId="0" borderId="45" xfId="0" applyFont="1" applyFill="1" applyBorder="1" applyAlignment="1">
      <alignment horizontal="left" vertical="center"/>
    </xf>
    <xf numFmtId="0" fontId="21" fillId="0" borderId="4" xfId="0" applyFont="1" applyBorder="1" applyAlignment="1">
      <alignment horizontal="left" vertical="center" wrapText="1"/>
    </xf>
    <xf numFmtId="0" fontId="21" fillId="0" borderId="43" xfId="0" applyFont="1" applyBorder="1" applyAlignment="1">
      <alignment horizontal="left" vertical="center" wrapText="1"/>
    </xf>
    <xf numFmtId="0" fontId="9" fillId="4" borderId="46" xfId="0" applyFont="1" applyFill="1" applyBorder="1" applyAlignment="1">
      <alignment horizontal="left" vertical="center" wrapText="1"/>
    </xf>
    <xf numFmtId="0" fontId="9" fillId="4" borderId="47" xfId="0" applyFont="1" applyFill="1" applyBorder="1" applyAlignment="1">
      <alignment horizontal="left" vertical="center" wrapText="1"/>
    </xf>
    <xf numFmtId="0" fontId="9" fillId="4" borderId="21" xfId="0" applyFont="1" applyFill="1" applyBorder="1" applyAlignment="1">
      <alignment horizontal="left" vertical="center" wrapText="1"/>
    </xf>
    <xf numFmtId="4" fontId="10" fillId="0" borderId="0" xfId="0" applyNumberFormat="1" applyFont="1" applyBorder="1" applyAlignment="1">
      <alignment horizontal="center" wrapText="1"/>
    </xf>
    <xf numFmtId="0" fontId="21" fillId="0" borderId="38" xfId="0" applyFont="1" applyBorder="1" applyAlignment="1">
      <alignment horizontal="left"/>
    </xf>
    <xf numFmtId="0" fontId="21" fillId="0" borderId="39" xfId="0" applyFont="1" applyBorder="1" applyAlignment="1">
      <alignment horizontal="left"/>
    </xf>
    <xf numFmtId="0" fontId="21" fillId="0" borderId="40" xfId="0" applyFont="1" applyBorder="1" applyAlignment="1">
      <alignment horizontal="left"/>
    </xf>
    <xf numFmtId="49" fontId="10" fillId="8" borderId="9" xfId="0" applyNumberFormat="1" applyFont="1" applyFill="1" applyBorder="1" applyAlignment="1">
      <alignment horizontal="center" vertical="center"/>
    </xf>
    <xf numFmtId="49" fontId="10" fillId="8" borderId="10" xfId="0" applyNumberFormat="1" applyFont="1" applyFill="1" applyBorder="1" applyAlignment="1">
      <alignment horizontal="center" vertical="center"/>
    </xf>
    <xf numFmtId="49" fontId="10" fillId="8" borderId="11" xfId="0" applyNumberFormat="1" applyFont="1" applyFill="1" applyBorder="1" applyAlignment="1">
      <alignment horizontal="center" vertical="center"/>
    </xf>
    <xf numFmtId="0" fontId="21" fillId="0" borderId="44" xfId="0" applyFont="1" applyBorder="1" applyAlignment="1">
      <alignment horizontal="left" vertical="center" wrapText="1"/>
    </xf>
    <xf numFmtId="0" fontId="21" fillId="0" borderId="4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4" borderId="34" xfId="0" applyFont="1" applyFill="1" applyBorder="1" applyAlignment="1">
      <alignment horizontal="left" vertical="center"/>
    </xf>
    <xf numFmtId="0" fontId="20" fillId="4" borderId="35" xfId="0" applyFont="1" applyFill="1" applyBorder="1" applyAlignment="1">
      <alignment horizontal="left" vertical="center"/>
    </xf>
    <xf numFmtId="0" fontId="20" fillId="4" borderId="16" xfId="0" applyFont="1" applyFill="1" applyBorder="1" applyAlignment="1">
      <alignment horizontal="left" vertical="center"/>
    </xf>
    <xf numFmtId="0" fontId="15" fillId="0" borderId="47" xfId="0" applyFont="1" applyFill="1" applyBorder="1" applyAlignment="1">
      <alignment horizontal="center" vertical="center" wrapText="1"/>
    </xf>
    <xf numFmtId="0" fontId="10" fillId="8" borderId="26" xfId="0" applyFont="1" applyFill="1" applyBorder="1" applyAlignment="1">
      <alignment horizontal="center" vertical="center" wrapText="1"/>
    </xf>
    <xf numFmtId="49" fontId="10" fillId="8" borderId="36" xfId="0" applyNumberFormat="1" applyFont="1" applyFill="1" applyBorder="1" applyAlignment="1">
      <alignment horizontal="center" vertical="center"/>
    </xf>
    <xf numFmtId="49" fontId="10" fillId="8" borderId="26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7" borderId="1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left"/>
    </xf>
    <xf numFmtId="0" fontId="19" fillId="4" borderId="1" xfId="0" applyFont="1" applyFill="1" applyBorder="1" applyAlignment="1">
      <alignment horizontal="left"/>
    </xf>
    <xf numFmtId="0" fontId="19" fillId="4" borderId="2" xfId="0" applyFont="1" applyFill="1" applyBorder="1" applyAlignment="1">
      <alignment horizontal="left"/>
    </xf>
    <xf numFmtId="4" fontId="10" fillId="0" borderId="0" xfId="0" applyNumberFormat="1" applyFont="1" applyBorder="1" applyAlignment="1">
      <alignment horizontal="left" wrapText="1"/>
    </xf>
    <xf numFmtId="0" fontId="22" fillId="4" borderId="37" xfId="0" applyFont="1" applyFill="1" applyBorder="1" applyAlignment="1">
      <alignment vertical="center" wrapText="1"/>
    </xf>
    <xf numFmtId="0" fontId="22" fillId="4" borderId="48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2" fillId="4" borderId="1" xfId="0" applyFont="1" applyFill="1" applyBorder="1" applyAlignment="1">
      <alignment vertical="center" wrapText="1"/>
    </xf>
    <xf numFmtId="0" fontId="22" fillId="4" borderId="2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0"/>
  <sheetViews>
    <sheetView view="pageBreakPreview" zoomScaleSheetLayoutView="100" workbookViewId="0" topLeftCell="A523">
      <selection activeCell="G550" sqref="G550"/>
    </sheetView>
  </sheetViews>
  <sheetFormatPr defaultColWidth="9.00390625" defaultRowHeight="12.75"/>
  <cols>
    <col min="1" max="1" width="7.625" style="0" customWidth="1"/>
    <col min="2" max="2" width="7.375" style="0" customWidth="1"/>
    <col min="3" max="3" width="25.375" style="0" customWidth="1"/>
    <col min="4" max="4" width="15.125" style="0" customWidth="1"/>
    <col min="5" max="5" width="13.25390625" style="55" hidden="1" customWidth="1"/>
    <col min="6" max="6" width="13.125" style="55" hidden="1" customWidth="1"/>
    <col min="7" max="7" width="17.75390625" style="17" customWidth="1"/>
    <col min="8" max="8" width="17.75390625" style="163" customWidth="1"/>
  </cols>
  <sheetData>
    <row r="1" spans="1:8" ht="23.25" customHeight="1">
      <c r="A1" s="6"/>
      <c r="B1" s="6"/>
      <c r="C1" s="250" t="s">
        <v>268</v>
      </c>
      <c r="D1" s="250"/>
      <c r="E1" s="250"/>
      <c r="F1" s="250"/>
      <c r="G1" s="251"/>
      <c r="H1" s="158"/>
    </row>
    <row r="2" spans="1:8" ht="9.75" customHeight="1">
      <c r="A2" s="6"/>
      <c r="B2" s="6"/>
      <c r="C2" s="251"/>
      <c r="D2" s="251"/>
      <c r="E2" s="251"/>
      <c r="F2" s="251"/>
      <c r="G2" s="251"/>
      <c r="H2" s="158"/>
    </row>
    <row r="3" spans="1:8" ht="42" customHeight="1" thickBot="1">
      <c r="A3" s="255" t="s">
        <v>249</v>
      </c>
      <c r="B3" s="255"/>
      <c r="C3" s="255"/>
      <c r="D3" s="255"/>
      <c r="E3" s="255"/>
      <c r="F3" s="255"/>
      <c r="G3" s="255"/>
      <c r="H3" s="255"/>
    </row>
    <row r="4" spans="1:8" ht="46.5" thickBot="1" thickTop="1">
      <c r="A4" s="7" t="s">
        <v>0</v>
      </c>
      <c r="B4" s="8" t="s">
        <v>18</v>
      </c>
      <c r="C4" s="9" t="s">
        <v>1</v>
      </c>
      <c r="D4" s="48" t="s">
        <v>250</v>
      </c>
      <c r="E4" s="133" t="s">
        <v>186</v>
      </c>
      <c r="F4" s="133" t="s">
        <v>187</v>
      </c>
      <c r="G4" s="134" t="s">
        <v>251</v>
      </c>
      <c r="H4" s="159" t="s">
        <v>214</v>
      </c>
    </row>
    <row r="5" spans="1:8" ht="14.25" thickBot="1" thickTop="1">
      <c r="A5" s="49">
        <v>1</v>
      </c>
      <c r="B5" s="50">
        <v>2</v>
      </c>
      <c r="C5" s="50">
        <v>3</v>
      </c>
      <c r="D5" s="50">
        <v>4</v>
      </c>
      <c r="E5" s="71">
        <v>5</v>
      </c>
      <c r="F5" s="71">
        <v>6</v>
      </c>
      <c r="G5" s="135">
        <v>5</v>
      </c>
      <c r="H5" s="164">
        <v>6</v>
      </c>
    </row>
    <row r="6" spans="1:8" ht="19.5" customHeight="1" thickBot="1" thickTop="1">
      <c r="A6" s="252" t="s">
        <v>135</v>
      </c>
      <c r="B6" s="253"/>
      <c r="C6" s="253"/>
      <c r="D6" s="253"/>
      <c r="E6" s="253"/>
      <c r="F6" s="253"/>
      <c r="G6" s="253"/>
      <c r="H6" s="254"/>
    </row>
    <row r="7" spans="1:8" ht="14.25" customHeight="1" thickTop="1">
      <c r="A7" s="242" t="s">
        <v>63</v>
      </c>
      <c r="B7" s="224" t="s">
        <v>2</v>
      </c>
      <c r="C7" s="225"/>
      <c r="D7" s="225"/>
      <c r="E7" s="225"/>
      <c r="F7" s="225"/>
      <c r="G7" s="225"/>
      <c r="H7" s="226"/>
    </row>
    <row r="8" spans="1:8" ht="14.25" thickBot="1">
      <c r="A8" s="244"/>
      <c r="B8" s="89">
        <v>4300</v>
      </c>
      <c r="C8" s="90" t="s">
        <v>62</v>
      </c>
      <c r="D8" s="36">
        <v>30000</v>
      </c>
      <c r="E8" s="91">
        <v>0</v>
      </c>
      <c r="F8" s="91">
        <v>0</v>
      </c>
      <c r="G8" s="136">
        <v>30000</v>
      </c>
      <c r="H8" s="187">
        <f>G8/D8</f>
        <v>1</v>
      </c>
    </row>
    <row r="9" spans="1:8" ht="15" thickBot="1" thickTop="1">
      <c r="A9" s="211" t="s">
        <v>19</v>
      </c>
      <c r="B9" s="212"/>
      <c r="C9" s="212"/>
      <c r="D9" s="92">
        <f>SUM(D8)</f>
        <v>30000</v>
      </c>
      <c r="E9" s="93">
        <f>SUM(E8)</f>
        <v>0</v>
      </c>
      <c r="F9" s="93">
        <f>SUM(F8)</f>
        <v>0</v>
      </c>
      <c r="G9" s="137">
        <f>SUM(G8)</f>
        <v>30000</v>
      </c>
      <c r="H9" s="174">
        <f>G9/D9</f>
        <v>1</v>
      </c>
    </row>
    <row r="10" spans="1:8" ht="16.5" thickBot="1" thickTop="1">
      <c r="A10" s="213" t="s">
        <v>20</v>
      </c>
      <c r="B10" s="214"/>
      <c r="C10" s="214"/>
      <c r="D10" s="51">
        <f>D9</f>
        <v>30000</v>
      </c>
      <c r="E10" s="51">
        <f>E9</f>
        <v>0</v>
      </c>
      <c r="F10" s="51">
        <f>F9</f>
        <v>0</v>
      </c>
      <c r="G10" s="51">
        <f>G9</f>
        <v>30000</v>
      </c>
      <c r="H10" s="175">
        <f>G10/D10</f>
        <v>1</v>
      </c>
    </row>
    <row r="11" spans="1:8" ht="18.75" customHeight="1" thickBot="1" thickTop="1">
      <c r="A11" s="200" t="s">
        <v>21</v>
      </c>
      <c r="B11" s="201"/>
      <c r="C11" s="201"/>
      <c r="D11" s="201"/>
      <c r="E11" s="201"/>
      <c r="F11" s="201"/>
      <c r="G11" s="201"/>
      <c r="H11" s="202"/>
    </row>
    <row r="12" spans="1:8" ht="14.25" customHeight="1" thickTop="1">
      <c r="A12" s="242" t="s">
        <v>49</v>
      </c>
      <c r="B12" s="224" t="s">
        <v>141</v>
      </c>
      <c r="C12" s="225"/>
      <c r="D12" s="225"/>
      <c r="E12" s="225"/>
      <c r="F12" s="225"/>
      <c r="G12" s="225"/>
      <c r="H12" s="226"/>
    </row>
    <row r="13" spans="1:8" ht="24.75" customHeight="1" thickBot="1">
      <c r="A13" s="244"/>
      <c r="B13" s="60">
        <v>3030</v>
      </c>
      <c r="C13" s="61" t="s">
        <v>77</v>
      </c>
      <c r="D13" s="62">
        <v>181088</v>
      </c>
      <c r="E13" s="57"/>
      <c r="F13" s="57">
        <v>0</v>
      </c>
      <c r="G13" s="138">
        <v>183204</v>
      </c>
      <c r="H13" s="178">
        <f>G13/D13</f>
        <v>1.0116849266654886</v>
      </c>
    </row>
    <row r="14" spans="1:8" ht="15" thickBot="1" thickTop="1">
      <c r="A14" s="211" t="s">
        <v>51</v>
      </c>
      <c r="B14" s="212"/>
      <c r="C14" s="212"/>
      <c r="D14" s="63">
        <f>SUM(D13:D13)</f>
        <v>181088</v>
      </c>
      <c r="E14" s="93">
        <f>SUM(E13:E13)</f>
        <v>0</v>
      </c>
      <c r="F14" s="93">
        <f>SUM(F13:F13)</f>
        <v>0</v>
      </c>
      <c r="G14" s="139">
        <f>SUM(G13:G13)</f>
        <v>183204</v>
      </c>
      <c r="H14" s="174">
        <f>G14/D14</f>
        <v>1.0116849266654886</v>
      </c>
    </row>
    <row r="15" spans="1:9" s="5" customFormat="1" ht="14.25" customHeight="1" thickTop="1">
      <c r="A15" s="242" t="s">
        <v>163</v>
      </c>
      <c r="B15" s="224" t="s">
        <v>3</v>
      </c>
      <c r="C15" s="225"/>
      <c r="D15" s="225"/>
      <c r="E15" s="225"/>
      <c r="F15" s="225"/>
      <c r="G15" s="225"/>
      <c r="H15" s="226"/>
      <c r="I15"/>
    </row>
    <row r="16" spans="1:9" s="5" customFormat="1" ht="14.25" customHeight="1" thickBot="1">
      <c r="A16" s="243"/>
      <c r="B16" s="10">
        <v>4300</v>
      </c>
      <c r="C16" s="11" t="s">
        <v>82</v>
      </c>
      <c r="D16" s="41">
        <v>31700</v>
      </c>
      <c r="E16" s="56">
        <v>0</v>
      </c>
      <c r="F16" s="56">
        <v>0</v>
      </c>
      <c r="G16" s="141">
        <v>17640</v>
      </c>
      <c r="H16" s="188">
        <f>G16/D16</f>
        <v>0.5564668769716088</v>
      </c>
      <c r="I16"/>
    </row>
    <row r="17" spans="1:9" s="5" customFormat="1" ht="14.25" customHeight="1" thickBot="1" thickTop="1">
      <c r="A17" s="211" t="s">
        <v>22</v>
      </c>
      <c r="B17" s="212"/>
      <c r="C17" s="212"/>
      <c r="D17" s="94">
        <f>SUM(D16:D16)</f>
        <v>31700</v>
      </c>
      <c r="E17" s="95">
        <f>SUM(E16:E16)</f>
        <v>0</v>
      </c>
      <c r="F17" s="95">
        <f>SUM(F16:F16)</f>
        <v>0</v>
      </c>
      <c r="G17" s="142">
        <f>SUM(G16:G16)</f>
        <v>17640</v>
      </c>
      <c r="H17" s="189">
        <f>G17/D17</f>
        <v>0.5564668769716088</v>
      </c>
      <c r="I17"/>
    </row>
    <row r="18" spans="1:9" s="5" customFormat="1" ht="16.5" thickBot="1" thickTop="1">
      <c r="A18" s="213" t="s">
        <v>50</v>
      </c>
      <c r="B18" s="214"/>
      <c r="C18" s="214"/>
      <c r="D18" s="51">
        <f>SUM(D14+D17)</f>
        <v>212788</v>
      </c>
      <c r="E18" s="52">
        <f>SUM(E14+E17)</f>
        <v>0</v>
      </c>
      <c r="F18" s="52">
        <f>SUM(F14+F17)</f>
        <v>0</v>
      </c>
      <c r="G18" s="140">
        <f>SUM(G14+G17)</f>
        <v>200844</v>
      </c>
      <c r="H18" s="175">
        <f>G18/D18</f>
        <v>0.9438690151700284</v>
      </c>
      <c r="I18"/>
    </row>
    <row r="19" spans="1:9" s="5" customFormat="1" ht="18.75" customHeight="1" thickBot="1" thickTop="1">
      <c r="A19" s="200" t="s">
        <v>74</v>
      </c>
      <c r="B19" s="201"/>
      <c r="C19" s="201"/>
      <c r="D19" s="201"/>
      <c r="E19" s="201"/>
      <c r="F19" s="201"/>
      <c r="G19" s="201"/>
      <c r="H19" s="202"/>
      <c r="I19"/>
    </row>
    <row r="20" spans="1:9" s="5" customFormat="1" ht="14.25" customHeight="1" thickTop="1">
      <c r="A20" s="242" t="s">
        <v>75</v>
      </c>
      <c r="B20" s="247" t="s">
        <v>76</v>
      </c>
      <c r="C20" s="248"/>
      <c r="D20" s="248"/>
      <c r="E20" s="248"/>
      <c r="F20" s="248"/>
      <c r="G20" s="248"/>
      <c r="H20" s="249"/>
      <c r="I20"/>
    </row>
    <row r="21" spans="1:9" s="5" customFormat="1" ht="24">
      <c r="A21" s="243"/>
      <c r="B21" s="13">
        <v>3020</v>
      </c>
      <c r="C21" s="11" t="s">
        <v>216</v>
      </c>
      <c r="D21" s="42">
        <v>4629</v>
      </c>
      <c r="E21" s="56">
        <v>0</v>
      </c>
      <c r="F21" s="56">
        <v>0</v>
      </c>
      <c r="G21" s="143">
        <v>2800</v>
      </c>
      <c r="H21" s="171">
        <f>G21/D21</f>
        <v>0.6048822639879023</v>
      </c>
      <c r="I21"/>
    </row>
    <row r="22" spans="1:9" s="5" customFormat="1" ht="24">
      <c r="A22" s="243"/>
      <c r="B22" s="10">
        <v>4010</v>
      </c>
      <c r="C22" s="11" t="s">
        <v>64</v>
      </c>
      <c r="D22" s="43">
        <v>383200</v>
      </c>
      <c r="E22" s="56">
        <v>0</v>
      </c>
      <c r="F22" s="56">
        <v>0</v>
      </c>
      <c r="G22" s="143">
        <v>398800</v>
      </c>
      <c r="H22" s="171">
        <f aca="true" t="shared" si="0" ref="H22:H38">G22/D22</f>
        <v>1.0407098121085594</v>
      </c>
      <c r="I22"/>
    </row>
    <row r="23" spans="1:9" s="5" customFormat="1" ht="12.75">
      <c r="A23" s="243"/>
      <c r="B23" s="10">
        <v>4040</v>
      </c>
      <c r="C23" s="11" t="s">
        <v>85</v>
      </c>
      <c r="D23" s="43">
        <v>28654</v>
      </c>
      <c r="E23" s="56">
        <v>0</v>
      </c>
      <c r="F23" s="56">
        <v>0</v>
      </c>
      <c r="G23" s="143">
        <v>31700</v>
      </c>
      <c r="H23" s="171">
        <f t="shared" si="0"/>
        <v>1.1063027849514901</v>
      </c>
      <c r="I23"/>
    </row>
    <row r="24" spans="1:9" s="5" customFormat="1" ht="14.25" customHeight="1">
      <c r="A24" s="243"/>
      <c r="B24" s="10">
        <v>4110</v>
      </c>
      <c r="C24" s="11" t="s">
        <v>84</v>
      </c>
      <c r="D24" s="43">
        <v>77500</v>
      </c>
      <c r="E24" s="56">
        <v>0</v>
      </c>
      <c r="F24" s="56">
        <v>0</v>
      </c>
      <c r="G24" s="143">
        <v>83600</v>
      </c>
      <c r="H24" s="171">
        <f t="shared" si="0"/>
        <v>1.0787096774193548</v>
      </c>
      <c r="I24"/>
    </row>
    <row r="25" spans="1:9" s="5" customFormat="1" ht="12.75">
      <c r="A25" s="243"/>
      <c r="B25" s="10">
        <v>4120</v>
      </c>
      <c r="C25" s="11" t="s">
        <v>83</v>
      </c>
      <c r="D25" s="43">
        <v>15200</v>
      </c>
      <c r="E25" s="56">
        <v>0</v>
      </c>
      <c r="F25" s="56">
        <v>0</v>
      </c>
      <c r="G25" s="143">
        <v>11100</v>
      </c>
      <c r="H25" s="171">
        <f t="shared" si="0"/>
        <v>0.7302631578947368</v>
      </c>
      <c r="I25"/>
    </row>
    <row r="26" spans="1:9" s="5" customFormat="1" ht="12.75">
      <c r="A26" s="243"/>
      <c r="B26" s="10">
        <v>4190</v>
      </c>
      <c r="C26" s="11" t="s">
        <v>212</v>
      </c>
      <c r="D26" s="43">
        <v>29800</v>
      </c>
      <c r="E26" s="56">
        <v>0</v>
      </c>
      <c r="F26" s="56">
        <v>0</v>
      </c>
      <c r="G26" s="143">
        <v>32300</v>
      </c>
      <c r="H26" s="171">
        <f t="shared" si="0"/>
        <v>1.0838926174496644</v>
      </c>
      <c r="I26"/>
    </row>
    <row r="27" spans="1:9" s="5" customFormat="1" ht="15" customHeight="1">
      <c r="A27" s="243"/>
      <c r="B27" s="10">
        <v>4210</v>
      </c>
      <c r="C27" s="11" t="s">
        <v>67</v>
      </c>
      <c r="D27" s="43">
        <v>231497</v>
      </c>
      <c r="E27" s="56">
        <v>0</v>
      </c>
      <c r="F27" s="56">
        <v>0</v>
      </c>
      <c r="G27" s="143">
        <v>198400</v>
      </c>
      <c r="H27" s="171">
        <f t="shared" si="0"/>
        <v>0.8570305446722851</v>
      </c>
      <c r="I27"/>
    </row>
    <row r="28" spans="1:9" s="5" customFormat="1" ht="12.75">
      <c r="A28" s="243"/>
      <c r="B28" s="10">
        <v>4260</v>
      </c>
      <c r="C28" s="11" t="s">
        <v>132</v>
      </c>
      <c r="D28" s="43">
        <v>18500</v>
      </c>
      <c r="E28" s="56">
        <v>0</v>
      </c>
      <c r="F28" s="56">
        <v>0</v>
      </c>
      <c r="G28" s="143">
        <v>37000</v>
      </c>
      <c r="H28" s="171">
        <f t="shared" si="0"/>
        <v>2</v>
      </c>
      <c r="I28"/>
    </row>
    <row r="29" spans="1:9" s="5" customFormat="1" ht="12.75">
      <c r="A29" s="243"/>
      <c r="B29" s="10">
        <v>4270</v>
      </c>
      <c r="C29" s="11" t="s">
        <v>133</v>
      </c>
      <c r="D29" s="43">
        <v>93000</v>
      </c>
      <c r="E29" s="56">
        <v>0</v>
      </c>
      <c r="F29" s="56">
        <v>0</v>
      </c>
      <c r="G29" s="143">
        <v>213500</v>
      </c>
      <c r="H29" s="171">
        <f t="shared" si="0"/>
        <v>2.295698924731183</v>
      </c>
      <c r="I29"/>
    </row>
    <row r="30" spans="1:9" s="5" customFormat="1" ht="12.75">
      <c r="A30" s="243"/>
      <c r="B30" s="10">
        <v>4280</v>
      </c>
      <c r="C30" s="11" t="s">
        <v>237</v>
      </c>
      <c r="D30" s="43">
        <v>450</v>
      </c>
      <c r="E30" s="56">
        <v>0</v>
      </c>
      <c r="F30" s="56">
        <v>0</v>
      </c>
      <c r="G30" s="143">
        <v>1700</v>
      </c>
      <c r="H30" s="171">
        <f t="shared" si="0"/>
        <v>3.7777777777777777</v>
      </c>
      <c r="I30"/>
    </row>
    <row r="31" spans="1:9" s="5" customFormat="1" ht="12.75">
      <c r="A31" s="243"/>
      <c r="B31" s="10">
        <v>4300</v>
      </c>
      <c r="C31" s="11" t="s">
        <v>82</v>
      </c>
      <c r="D31" s="43">
        <v>305333</v>
      </c>
      <c r="E31" s="56">
        <v>0</v>
      </c>
      <c r="F31" s="56">
        <v>0</v>
      </c>
      <c r="G31" s="143">
        <v>449900</v>
      </c>
      <c r="H31" s="171">
        <f t="shared" si="0"/>
        <v>1.4734732243157471</v>
      </c>
      <c r="I31"/>
    </row>
    <row r="32" spans="1:9" s="5" customFormat="1" ht="12.75">
      <c r="A32" s="243"/>
      <c r="B32" s="10">
        <v>4350</v>
      </c>
      <c r="C32" s="11" t="s">
        <v>209</v>
      </c>
      <c r="D32" s="43">
        <v>3000</v>
      </c>
      <c r="E32" s="56">
        <v>0</v>
      </c>
      <c r="F32" s="56">
        <v>0</v>
      </c>
      <c r="G32" s="143">
        <v>3500</v>
      </c>
      <c r="H32" s="171">
        <f t="shared" si="0"/>
        <v>1.1666666666666667</v>
      </c>
      <c r="I32"/>
    </row>
    <row r="33" spans="1:9" s="5" customFormat="1" ht="12.75">
      <c r="A33" s="243"/>
      <c r="B33" s="10">
        <v>4410</v>
      </c>
      <c r="C33" s="11" t="s">
        <v>126</v>
      </c>
      <c r="D33" s="43">
        <v>499</v>
      </c>
      <c r="E33" s="56">
        <v>0</v>
      </c>
      <c r="F33" s="56">
        <v>0</v>
      </c>
      <c r="G33" s="143">
        <v>2000</v>
      </c>
      <c r="H33" s="171">
        <f t="shared" si="0"/>
        <v>4.008016032064128</v>
      </c>
      <c r="I33"/>
    </row>
    <row r="34" spans="1:9" s="5" customFormat="1" ht="12.75">
      <c r="A34" s="243"/>
      <c r="B34" s="10">
        <v>4430</v>
      </c>
      <c r="C34" s="11" t="s">
        <v>81</v>
      </c>
      <c r="D34" s="43">
        <v>8706</v>
      </c>
      <c r="E34" s="56">
        <v>0</v>
      </c>
      <c r="F34" s="56">
        <v>0</v>
      </c>
      <c r="G34" s="143">
        <v>8900</v>
      </c>
      <c r="H34" s="171">
        <f t="shared" si="0"/>
        <v>1.0222834826556397</v>
      </c>
      <c r="I34"/>
    </row>
    <row r="35" spans="1:11" s="5" customFormat="1" ht="12.75">
      <c r="A35" s="243"/>
      <c r="B35" s="10">
        <v>4440</v>
      </c>
      <c r="C35" s="11" t="s">
        <v>72</v>
      </c>
      <c r="D35" s="43">
        <v>21145</v>
      </c>
      <c r="E35" s="56">
        <v>0</v>
      </c>
      <c r="F35" s="56">
        <v>0</v>
      </c>
      <c r="G35" s="143">
        <v>10800</v>
      </c>
      <c r="H35" s="171">
        <f t="shared" si="0"/>
        <v>0.5107590446914164</v>
      </c>
      <c r="I35"/>
      <c r="K35" s="169"/>
    </row>
    <row r="36" spans="1:9" s="5" customFormat="1" ht="12.75">
      <c r="A36" s="243"/>
      <c r="B36" s="10">
        <v>4480</v>
      </c>
      <c r="C36" s="11" t="s">
        <v>73</v>
      </c>
      <c r="D36" s="43">
        <v>3806</v>
      </c>
      <c r="E36" s="56">
        <v>0</v>
      </c>
      <c r="F36" s="56">
        <v>0</v>
      </c>
      <c r="G36" s="143">
        <v>3900</v>
      </c>
      <c r="H36" s="171">
        <f t="shared" si="0"/>
        <v>1.024697845507094</v>
      </c>
      <c r="I36"/>
    </row>
    <row r="37" spans="1:9" s="5" customFormat="1" ht="24">
      <c r="A37" s="243"/>
      <c r="B37" s="10">
        <v>4500</v>
      </c>
      <c r="C37" s="11" t="s">
        <v>161</v>
      </c>
      <c r="D37" s="46">
        <v>4625</v>
      </c>
      <c r="E37" s="56">
        <v>0</v>
      </c>
      <c r="F37" s="56">
        <v>0</v>
      </c>
      <c r="G37" s="143">
        <v>4700</v>
      </c>
      <c r="H37" s="171">
        <f t="shared" si="0"/>
        <v>1.0162162162162163</v>
      </c>
      <c r="I37"/>
    </row>
    <row r="38" spans="1:9" s="5" customFormat="1" ht="12.75">
      <c r="A38" s="243"/>
      <c r="B38" s="10">
        <v>4520</v>
      </c>
      <c r="C38" s="11" t="s">
        <v>162</v>
      </c>
      <c r="D38" s="43">
        <v>100</v>
      </c>
      <c r="E38" s="56">
        <v>0</v>
      </c>
      <c r="F38" s="56">
        <v>0</v>
      </c>
      <c r="G38" s="143">
        <v>100</v>
      </c>
      <c r="H38" s="171">
        <f t="shared" si="0"/>
        <v>1</v>
      </c>
      <c r="I38"/>
    </row>
    <row r="39" spans="1:9" s="5" customFormat="1" ht="13.5" customHeight="1">
      <c r="A39" s="244"/>
      <c r="B39" s="60">
        <v>6060</v>
      </c>
      <c r="C39" s="61" t="s">
        <v>223</v>
      </c>
      <c r="D39" s="62">
        <v>0</v>
      </c>
      <c r="E39" s="57">
        <v>0</v>
      </c>
      <c r="F39" s="57">
        <v>0</v>
      </c>
      <c r="G39" s="144">
        <v>40500</v>
      </c>
      <c r="H39" s="171">
        <v>0</v>
      </c>
      <c r="I39"/>
    </row>
    <row r="40" spans="1:9" s="5" customFormat="1" ht="16.5" customHeight="1">
      <c r="A40" s="244"/>
      <c r="B40" s="60">
        <v>6068</v>
      </c>
      <c r="C40" s="61" t="s">
        <v>223</v>
      </c>
      <c r="D40" s="170">
        <v>1982551</v>
      </c>
      <c r="E40" s="57"/>
      <c r="F40" s="57"/>
      <c r="G40" s="144">
        <v>1982551</v>
      </c>
      <c r="H40" s="172">
        <f>G40/D40</f>
        <v>1</v>
      </c>
      <c r="I40"/>
    </row>
    <row r="41" spans="1:9" s="5" customFormat="1" ht="14.25" customHeight="1" thickBot="1">
      <c r="A41" s="244"/>
      <c r="B41" s="60">
        <v>6069</v>
      </c>
      <c r="C41" s="61" t="s">
        <v>223</v>
      </c>
      <c r="D41" s="62">
        <v>1321700</v>
      </c>
      <c r="E41" s="57"/>
      <c r="F41" s="57"/>
      <c r="G41" s="144">
        <v>1321700</v>
      </c>
      <c r="H41" s="173">
        <f>G41/D41</f>
        <v>1</v>
      </c>
      <c r="I41"/>
    </row>
    <row r="42" spans="1:9" s="5" customFormat="1" ht="15" thickBot="1" thickTop="1">
      <c r="A42" s="211" t="s">
        <v>78</v>
      </c>
      <c r="B42" s="212"/>
      <c r="C42" s="212"/>
      <c r="D42" s="63">
        <f>SUM(D21:D41)</f>
        <v>4533895</v>
      </c>
      <c r="E42" s="63">
        <f>SUM(E21:E41)</f>
        <v>0</v>
      </c>
      <c r="F42" s="63">
        <f>SUM(F21:F41)</f>
        <v>0</v>
      </c>
      <c r="G42" s="139">
        <f>SUM(G21:G41)</f>
        <v>4839451</v>
      </c>
      <c r="H42" s="174">
        <f>G42/D42</f>
        <v>1.0673937089412084</v>
      </c>
      <c r="I42"/>
    </row>
    <row r="43" spans="1:9" s="5" customFormat="1" ht="16.5" thickBot="1" thickTop="1">
      <c r="A43" s="213" t="s">
        <v>79</v>
      </c>
      <c r="B43" s="214"/>
      <c r="C43" s="214"/>
      <c r="D43" s="51">
        <f>D42</f>
        <v>4533895</v>
      </c>
      <c r="E43" s="52">
        <f>E42</f>
        <v>0</v>
      </c>
      <c r="F43" s="52">
        <f>F42</f>
        <v>0</v>
      </c>
      <c r="G43" s="140">
        <f>G42</f>
        <v>4839451</v>
      </c>
      <c r="H43" s="175">
        <f>G43/D43</f>
        <v>1.0673937089412084</v>
      </c>
      <c r="I43"/>
    </row>
    <row r="44" spans="1:9" s="5" customFormat="1" ht="21" thickBot="1" thickTop="1">
      <c r="A44" s="200" t="s">
        <v>26</v>
      </c>
      <c r="B44" s="201"/>
      <c r="C44" s="201"/>
      <c r="D44" s="201"/>
      <c r="E44" s="201"/>
      <c r="F44" s="201"/>
      <c r="G44" s="201"/>
      <c r="H44" s="202"/>
      <c r="I44"/>
    </row>
    <row r="45" spans="1:9" s="5" customFormat="1" ht="14.25" customHeight="1" thickTop="1">
      <c r="A45" s="218">
        <v>70005</v>
      </c>
      <c r="B45" s="224" t="s">
        <v>4</v>
      </c>
      <c r="C45" s="225"/>
      <c r="D45" s="225"/>
      <c r="E45" s="225"/>
      <c r="F45" s="225"/>
      <c r="G45" s="225"/>
      <c r="H45" s="226"/>
      <c r="I45" s="2"/>
    </row>
    <row r="46" spans="1:9" s="5" customFormat="1" ht="14.25" customHeight="1">
      <c r="A46" s="218"/>
      <c r="B46" s="184">
        <v>4170</v>
      </c>
      <c r="C46" s="183" t="s">
        <v>210</v>
      </c>
      <c r="D46" s="185">
        <v>1800</v>
      </c>
      <c r="E46" s="182"/>
      <c r="F46" s="182"/>
      <c r="G46" s="182"/>
      <c r="H46" s="190"/>
      <c r="I46" s="2"/>
    </row>
    <row r="47" spans="1:9" s="5" customFormat="1" ht="12.75">
      <c r="A47" s="216"/>
      <c r="B47" s="10">
        <v>4210</v>
      </c>
      <c r="C47" s="11" t="s">
        <v>67</v>
      </c>
      <c r="D47" s="12">
        <v>545</v>
      </c>
      <c r="E47" s="56">
        <v>0</v>
      </c>
      <c r="F47" s="56">
        <v>0</v>
      </c>
      <c r="G47" s="145">
        <v>3000</v>
      </c>
      <c r="H47" s="191">
        <f aca="true" t="shared" si="1" ref="H47:H52">G47/D47</f>
        <v>5.504587155963303</v>
      </c>
      <c r="I47" s="2"/>
    </row>
    <row r="48" spans="1:9" s="5" customFormat="1" ht="12.75">
      <c r="A48" s="219"/>
      <c r="B48" s="10">
        <v>4300</v>
      </c>
      <c r="C48" s="11" t="s">
        <v>82</v>
      </c>
      <c r="D48" s="12">
        <v>72614</v>
      </c>
      <c r="E48" s="56">
        <v>0</v>
      </c>
      <c r="F48" s="56">
        <v>0</v>
      </c>
      <c r="G48" s="145">
        <v>3000</v>
      </c>
      <c r="H48" s="191">
        <f t="shared" si="1"/>
        <v>0.041314347095601396</v>
      </c>
      <c r="I48" s="2"/>
    </row>
    <row r="49" spans="1:9" s="5" customFormat="1" ht="24">
      <c r="A49" s="219"/>
      <c r="B49" s="60">
        <v>4590</v>
      </c>
      <c r="C49" s="61" t="s">
        <v>128</v>
      </c>
      <c r="D49" s="62">
        <v>56890</v>
      </c>
      <c r="E49" s="57">
        <v>0</v>
      </c>
      <c r="F49" s="57">
        <v>0</v>
      </c>
      <c r="G49" s="145">
        <v>3000</v>
      </c>
      <c r="H49" s="191">
        <f t="shared" si="1"/>
        <v>0.05273334505185446</v>
      </c>
      <c r="I49" s="2"/>
    </row>
    <row r="50" spans="1:9" s="5" customFormat="1" ht="13.5" thickBot="1">
      <c r="A50" s="219"/>
      <c r="B50" s="60">
        <v>4480</v>
      </c>
      <c r="C50" s="61" t="s">
        <v>136</v>
      </c>
      <c r="D50" s="62">
        <v>2016</v>
      </c>
      <c r="E50" s="57">
        <v>0</v>
      </c>
      <c r="F50" s="57">
        <v>0</v>
      </c>
      <c r="G50" s="145">
        <v>2000</v>
      </c>
      <c r="H50" s="188">
        <f t="shared" si="1"/>
        <v>0.9920634920634921</v>
      </c>
      <c r="I50"/>
    </row>
    <row r="51" spans="1:9" s="5" customFormat="1" ht="15" thickBot="1" thickTop="1">
      <c r="A51" s="211" t="s">
        <v>52</v>
      </c>
      <c r="B51" s="212"/>
      <c r="C51" s="212"/>
      <c r="D51" s="63">
        <f>SUM(D46:D50)</f>
        <v>133865</v>
      </c>
      <c r="E51" s="93">
        <f>SUM(E47:E50)</f>
        <v>0</v>
      </c>
      <c r="F51" s="93">
        <f>SUM(F47:F50)</f>
        <v>0</v>
      </c>
      <c r="G51" s="146">
        <f>SUM(G47:G50)</f>
        <v>11000</v>
      </c>
      <c r="H51" s="174">
        <f t="shared" si="1"/>
        <v>0.08217233780301049</v>
      </c>
      <c r="I51"/>
    </row>
    <row r="52" spans="1:9" s="5" customFormat="1" ht="16.5" thickBot="1" thickTop="1">
      <c r="A52" s="213" t="s">
        <v>53</v>
      </c>
      <c r="B52" s="214"/>
      <c r="C52" s="214"/>
      <c r="D52" s="51">
        <f>SUM(D51)</f>
        <v>133865</v>
      </c>
      <c r="E52" s="52">
        <f>SUM(E51)</f>
        <v>0</v>
      </c>
      <c r="F52" s="52">
        <f>SUM(F51)</f>
        <v>0</v>
      </c>
      <c r="G52" s="140">
        <f>SUM(G51)</f>
        <v>11000</v>
      </c>
      <c r="H52" s="175">
        <f t="shared" si="1"/>
        <v>0.08217233780301049</v>
      </c>
      <c r="I52"/>
    </row>
    <row r="53" spans="1:14" s="5" customFormat="1" ht="21" thickBot="1" thickTop="1">
      <c r="A53" s="200" t="s">
        <v>23</v>
      </c>
      <c r="B53" s="201"/>
      <c r="C53" s="201"/>
      <c r="D53" s="201"/>
      <c r="E53" s="201"/>
      <c r="F53" s="201"/>
      <c r="G53" s="201"/>
      <c r="H53" s="202"/>
      <c r="I53"/>
      <c r="N53" s="97"/>
    </row>
    <row r="54" spans="1:9" s="5" customFormat="1" ht="14.25" customHeight="1" thickTop="1">
      <c r="A54" s="218">
        <v>71013</v>
      </c>
      <c r="B54" s="224" t="s">
        <v>5</v>
      </c>
      <c r="C54" s="225"/>
      <c r="D54" s="225"/>
      <c r="E54" s="225"/>
      <c r="F54" s="225"/>
      <c r="G54" s="225"/>
      <c r="H54" s="226"/>
      <c r="I54"/>
    </row>
    <row r="55" spans="1:9" s="5" customFormat="1" ht="13.5" thickBot="1">
      <c r="A55" s="219"/>
      <c r="B55" s="60">
        <v>4300</v>
      </c>
      <c r="C55" s="61" t="s">
        <v>82</v>
      </c>
      <c r="D55" s="62">
        <v>50000</v>
      </c>
      <c r="E55" s="57">
        <v>0</v>
      </c>
      <c r="F55" s="57">
        <v>0</v>
      </c>
      <c r="G55" s="138">
        <v>25000</v>
      </c>
      <c r="H55" s="178">
        <f>G55/D55</f>
        <v>0.5</v>
      </c>
      <c r="I55"/>
    </row>
    <row r="56" spans="1:9" s="5" customFormat="1" ht="15" thickBot="1" thickTop="1">
      <c r="A56" s="211" t="s">
        <v>30</v>
      </c>
      <c r="B56" s="212"/>
      <c r="C56" s="212"/>
      <c r="D56" s="93">
        <f>SUM(D55)</f>
        <v>50000</v>
      </c>
      <c r="E56" s="93">
        <f>SUM(E55)</f>
        <v>0</v>
      </c>
      <c r="F56" s="93">
        <f>SUM(F55)</f>
        <v>0</v>
      </c>
      <c r="G56" s="146">
        <f>SUM(G55)</f>
        <v>25000</v>
      </c>
      <c r="H56" s="174">
        <f>G56/D56</f>
        <v>0.5</v>
      </c>
      <c r="I56"/>
    </row>
    <row r="57" spans="1:9" s="5" customFormat="1" ht="15" customHeight="1" thickTop="1">
      <c r="A57" s="218">
        <v>71014</v>
      </c>
      <c r="B57" s="224" t="s">
        <v>25</v>
      </c>
      <c r="C57" s="225"/>
      <c r="D57" s="225"/>
      <c r="E57" s="225"/>
      <c r="F57" s="225"/>
      <c r="G57" s="225"/>
      <c r="H57" s="226"/>
      <c r="I57"/>
    </row>
    <row r="58" spans="1:9" s="5" customFormat="1" ht="13.5" thickBot="1">
      <c r="A58" s="219"/>
      <c r="B58" s="60">
        <v>4300</v>
      </c>
      <c r="C58" s="61" t="s">
        <v>82</v>
      </c>
      <c r="D58" s="62">
        <v>1000</v>
      </c>
      <c r="E58" s="57"/>
      <c r="F58" s="57"/>
      <c r="G58" s="138">
        <v>1200</v>
      </c>
      <c r="H58" s="178">
        <f>G58/D58</f>
        <v>1.2</v>
      </c>
      <c r="I58"/>
    </row>
    <row r="59" spans="1:9" s="5" customFormat="1" ht="15" thickBot="1" thickTop="1">
      <c r="A59" s="211" t="s">
        <v>28</v>
      </c>
      <c r="B59" s="212"/>
      <c r="C59" s="212"/>
      <c r="D59" s="63">
        <f>SUM(D58)</f>
        <v>1000</v>
      </c>
      <c r="E59" s="93">
        <f>SUM(E58)</f>
        <v>0</v>
      </c>
      <c r="F59" s="93">
        <f>SUM(F58)</f>
        <v>0</v>
      </c>
      <c r="G59" s="139">
        <f>SUM(G58)</f>
        <v>1200</v>
      </c>
      <c r="H59" s="174">
        <f>G59/D59</f>
        <v>1.2</v>
      </c>
      <c r="I59"/>
    </row>
    <row r="60" spans="1:9" s="5" customFormat="1" ht="14.25" customHeight="1" thickTop="1">
      <c r="A60" s="215">
        <v>71015</v>
      </c>
      <c r="B60" s="224" t="s">
        <v>6</v>
      </c>
      <c r="C60" s="225"/>
      <c r="D60" s="225"/>
      <c r="E60" s="225"/>
      <c r="F60" s="225"/>
      <c r="G60" s="225"/>
      <c r="H60" s="226"/>
      <c r="I60"/>
    </row>
    <row r="61" spans="1:9" s="5" customFormat="1" ht="24">
      <c r="A61" s="216"/>
      <c r="B61" s="10">
        <v>4010</v>
      </c>
      <c r="C61" s="11" t="s">
        <v>64</v>
      </c>
      <c r="D61" s="12">
        <v>45450</v>
      </c>
      <c r="E61" s="56">
        <v>0</v>
      </c>
      <c r="F61" s="56">
        <v>0</v>
      </c>
      <c r="G61" s="145">
        <v>44400</v>
      </c>
      <c r="H61" s="176">
        <f>G61/D61</f>
        <v>0.976897689768977</v>
      </c>
      <c r="I61"/>
    </row>
    <row r="62" spans="1:9" s="5" customFormat="1" ht="24">
      <c r="A62" s="216"/>
      <c r="B62" s="10">
        <v>4020</v>
      </c>
      <c r="C62" s="11" t="s">
        <v>130</v>
      </c>
      <c r="D62" s="12">
        <v>46282</v>
      </c>
      <c r="E62" s="56">
        <v>0</v>
      </c>
      <c r="F62" s="56">
        <v>0</v>
      </c>
      <c r="G62" s="145">
        <v>66000</v>
      </c>
      <c r="H62" s="176">
        <f aca="true" t="shared" si="2" ref="H62:H71">G62/D62</f>
        <v>1.4260403612635582</v>
      </c>
      <c r="I62"/>
    </row>
    <row r="63" spans="1:9" s="5" customFormat="1" ht="12.75">
      <c r="A63" s="216"/>
      <c r="B63" s="10">
        <v>4040</v>
      </c>
      <c r="C63" s="11" t="s">
        <v>65</v>
      </c>
      <c r="D63" s="12">
        <v>5358</v>
      </c>
      <c r="E63" s="56">
        <v>0</v>
      </c>
      <c r="F63" s="56">
        <v>0</v>
      </c>
      <c r="G63" s="145">
        <v>7200</v>
      </c>
      <c r="H63" s="176">
        <f t="shared" si="2"/>
        <v>1.343784994400896</v>
      </c>
      <c r="I63"/>
    </row>
    <row r="64" spans="1:9" s="5" customFormat="1" ht="12.75" customHeight="1">
      <c r="A64" s="216"/>
      <c r="B64" s="10">
        <v>4110</v>
      </c>
      <c r="C64" s="11" t="s">
        <v>84</v>
      </c>
      <c r="D64" s="12">
        <v>16772</v>
      </c>
      <c r="E64" s="56">
        <v>0</v>
      </c>
      <c r="F64" s="56">
        <v>0</v>
      </c>
      <c r="G64" s="145">
        <v>21400</v>
      </c>
      <c r="H64" s="176">
        <f t="shared" si="2"/>
        <v>1.2759360839494396</v>
      </c>
      <c r="I64"/>
    </row>
    <row r="65" spans="1:9" s="5" customFormat="1" ht="12.75">
      <c r="A65" s="216"/>
      <c r="B65" s="10">
        <v>4120</v>
      </c>
      <c r="C65" s="11" t="s">
        <v>66</v>
      </c>
      <c r="D65" s="12">
        <v>2260</v>
      </c>
      <c r="E65" s="56">
        <v>0</v>
      </c>
      <c r="F65" s="56">
        <v>0</v>
      </c>
      <c r="G65" s="145">
        <v>2900</v>
      </c>
      <c r="H65" s="176">
        <f t="shared" si="2"/>
        <v>1.2831858407079646</v>
      </c>
      <c r="I65"/>
    </row>
    <row r="66" spans="1:9" s="5" customFormat="1" ht="12.75">
      <c r="A66" s="216"/>
      <c r="B66" s="10">
        <v>4170</v>
      </c>
      <c r="C66" s="130" t="s">
        <v>203</v>
      </c>
      <c r="D66" s="12">
        <v>120</v>
      </c>
      <c r="E66" s="12">
        <v>0</v>
      </c>
      <c r="F66" s="12">
        <v>0</v>
      </c>
      <c r="G66" s="145">
        <v>200</v>
      </c>
      <c r="H66" s="176">
        <f t="shared" si="2"/>
        <v>1.6666666666666667</v>
      </c>
      <c r="I66"/>
    </row>
    <row r="67" spans="1:9" s="5" customFormat="1" ht="12.75">
      <c r="A67" s="216"/>
      <c r="B67" s="10">
        <v>4210</v>
      </c>
      <c r="C67" s="11" t="s">
        <v>67</v>
      </c>
      <c r="D67" s="12">
        <v>11019</v>
      </c>
      <c r="E67" s="56">
        <v>0</v>
      </c>
      <c r="F67" s="56">
        <v>0</v>
      </c>
      <c r="G67" s="145">
        <v>10600</v>
      </c>
      <c r="H67" s="176">
        <f t="shared" si="2"/>
        <v>0.9619747708503494</v>
      </c>
      <c r="I67"/>
    </row>
    <row r="68" spans="1:9" s="5" customFormat="1" ht="12.75">
      <c r="A68" s="216"/>
      <c r="B68" s="10">
        <v>4280</v>
      </c>
      <c r="C68" s="11" t="s">
        <v>104</v>
      </c>
      <c r="D68" s="12">
        <v>25</v>
      </c>
      <c r="E68" s="56">
        <v>0</v>
      </c>
      <c r="F68" s="56">
        <v>0</v>
      </c>
      <c r="G68" s="145">
        <v>100</v>
      </c>
      <c r="H68" s="176">
        <f t="shared" si="2"/>
        <v>4</v>
      </c>
      <c r="I68"/>
    </row>
    <row r="69" spans="1:9" s="5" customFormat="1" ht="12.75">
      <c r="A69" s="216"/>
      <c r="B69" s="10">
        <v>4300</v>
      </c>
      <c r="C69" s="11" t="s">
        <v>82</v>
      </c>
      <c r="D69" s="12">
        <v>1373</v>
      </c>
      <c r="E69" s="56">
        <v>0</v>
      </c>
      <c r="F69" s="56">
        <v>0</v>
      </c>
      <c r="G69" s="145">
        <v>11900</v>
      </c>
      <c r="H69" s="176">
        <f t="shared" si="2"/>
        <v>8.667152221412964</v>
      </c>
      <c r="I69"/>
    </row>
    <row r="70" spans="1:9" s="5" customFormat="1" ht="12.75">
      <c r="A70" s="216"/>
      <c r="B70" s="10">
        <v>4410</v>
      </c>
      <c r="C70" s="11" t="s">
        <v>70</v>
      </c>
      <c r="D70" s="12">
        <v>500</v>
      </c>
      <c r="E70" s="56">
        <v>0</v>
      </c>
      <c r="F70" s="56">
        <v>0</v>
      </c>
      <c r="G70" s="145">
        <v>1000</v>
      </c>
      <c r="H70" s="176">
        <f t="shared" si="2"/>
        <v>2</v>
      </c>
      <c r="I70"/>
    </row>
    <row r="71" spans="1:9" s="5" customFormat="1" ht="12.75">
      <c r="A71" s="216"/>
      <c r="B71" s="10">
        <v>4430</v>
      </c>
      <c r="C71" s="11" t="s">
        <v>81</v>
      </c>
      <c r="D71" s="12">
        <v>1200</v>
      </c>
      <c r="E71" s="56">
        <v>0</v>
      </c>
      <c r="F71" s="56">
        <v>0</v>
      </c>
      <c r="G71" s="145">
        <v>1500</v>
      </c>
      <c r="H71" s="176">
        <f t="shared" si="2"/>
        <v>1.25</v>
      </c>
      <c r="I71"/>
    </row>
    <row r="72" spans="1:9" s="5" customFormat="1" ht="13.5" thickBot="1">
      <c r="A72" s="217"/>
      <c r="B72" s="64">
        <v>4440</v>
      </c>
      <c r="C72" s="65" t="s">
        <v>72</v>
      </c>
      <c r="D72" s="106">
        <v>2841</v>
      </c>
      <c r="E72" s="67">
        <v>0</v>
      </c>
      <c r="F72" s="67">
        <v>0</v>
      </c>
      <c r="G72" s="106">
        <v>3800</v>
      </c>
      <c r="H72" s="178">
        <f>G72/D72</f>
        <v>1.3375571981696586</v>
      </c>
      <c r="I72"/>
    </row>
    <row r="73" spans="1:9" s="5" customFormat="1" ht="15" thickBot="1" thickTop="1">
      <c r="A73" s="211" t="s">
        <v>199</v>
      </c>
      <c r="B73" s="212"/>
      <c r="C73" s="212"/>
      <c r="D73" s="63">
        <f>SUM(D61:D72)</f>
        <v>133200</v>
      </c>
      <c r="E73" s="63">
        <f>SUM(E61:E72)</f>
        <v>0</v>
      </c>
      <c r="F73" s="63">
        <f>SUM(F61:F72)</f>
        <v>0</v>
      </c>
      <c r="G73" s="63">
        <f>SUM(G61:G72)</f>
        <v>171000</v>
      </c>
      <c r="H73" s="174">
        <f>G73/D73</f>
        <v>1.2837837837837838</v>
      </c>
      <c r="I73"/>
    </row>
    <row r="74" spans="1:8" ht="16.5" thickBot="1" thickTop="1">
      <c r="A74" s="213" t="s">
        <v>27</v>
      </c>
      <c r="B74" s="214"/>
      <c r="C74" s="214"/>
      <c r="D74" s="51">
        <f>D56+D59+D73</f>
        <v>184200</v>
      </c>
      <c r="E74" s="52">
        <f>E56+E59+E73</f>
        <v>0</v>
      </c>
      <c r="F74" s="52">
        <f>F56+F59+F73</f>
        <v>0</v>
      </c>
      <c r="G74" s="140">
        <f>G56+G59+G73</f>
        <v>197200</v>
      </c>
      <c r="H74" s="175">
        <f>G74/D74</f>
        <v>1.0705754614549403</v>
      </c>
    </row>
    <row r="75" spans="1:8" ht="21.75" customHeight="1" thickBot="1" thickTop="1">
      <c r="A75" s="200" t="s">
        <v>24</v>
      </c>
      <c r="B75" s="201"/>
      <c r="C75" s="201"/>
      <c r="D75" s="201"/>
      <c r="E75" s="201"/>
      <c r="F75" s="201"/>
      <c r="G75" s="201"/>
      <c r="H75" s="202"/>
    </row>
    <row r="76" spans="1:8" ht="14.25" customHeight="1" thickTop="1">
      <c r="A76" s="218">
        <v>75011</v>
      </c>
      <c r="B76" s="224" t="s">
        <v>7</v>
      </c>
      <c r="C76" s="225"/>
      <c r="D76" s="225"/>
      <c r="E76" s="225"/>
      <c r="F76" s="225"/>
      <c r="G76" s="225"/>
      <c r="H76" s="226"/>
    </row>
    <row r="77" spans="1:8" ht="24">
      <c r="A77" s="216"/>
      <c r="B77" s="10">
        <v>4010</v>
      </c>
      <c r="C77" s="11" t="s">
        <v>64</v>
      </c>
      <c r="D77" s="12">
        <v>105307</v>
      </c>
      <c r="E77" s="56"/>
      <c r="F77" s="56"/>
      <c r="G77" s="145">
        <v>105500</v>
      </c>
      <c r="H77" s="176">
        <f aca="true" t="shared" si="3" ref="H77:H83">G77/D77</f>
        <v>1.001832736665179</v>
      </c>
    </row>
    <row r="78" spans="1:8" ht="12.75">
      <c r="A78" s="216"/>
      <c r="B78" s="10">
        <v>4040</v>
      </c>
      <c r="C78" s="11" t="s">
        <v>65</v>
      </c>
      <c r="D78" s="12">
        <v>8690</v>
      </c>
      <c r="E78" s="56"/>
      <c r="F78" s="56"/>
      <c r="G78" s="145">
        <v>8910</v>
      </c>
      <c r="H78" s="176">
        <f t="shared" si="3"/>
        <v>1.0253164556962024</v>
      </c>
    </row>
    <row r="79" spans="1:8" ht="15" customHeight="1">
      <c r="A79" s="216"/>
      <c r="B79" s="10">
        <v>4110</v>
      </c>
      <c r="C79" s="11" t="s">
        <v>84</v>
      </c>
      <c r="D79" s="12">
        <v>19642</v>
      </c>
      <c r="E79" s="56"/>
      <c r="F79" s="56"/>
      <c r="G79" s="145">
        <v>18570</v>
      </c>
      <c r="H79" s="176">
        <f t="shared" si="3"/>
        <v>0.9454230730068222</v>
      </c>
    </row>
    <row r="80" spans="1:8" ht="12.75">
      <c r="A80" s="216"/>
      <c r="B80" s="10">
        <v>4120</v>
      </c>
      <c r="C80" s="11" t="s">
        <v>66</v>
      </c>
      <c r="D80" s="12">
        <v>2793</v>
      </c>
      <c r="E80" s="56"/>
      <c r="F80" s="56"/>
      <c r="G80" s="145">
        <v>2803</v>
      </c>
      <c r="H80" s="176">
        <f t="shared" si="3"/>
        <v>1.0035803795202292</v>
      </c>
    </row>
    <row r="81" spans="1:8" ht="12.75">
      <c r="A81" s="219"/>
      <c r="B81" s="60">
        <v>4210</v>
      </c>
      <c r="C81" s="61" t="s">
        <v>67</v>
      </c>
      <c r="D81" s="62">
        <v>0</v>
      </c>
      <c r="E81" s="57"/>
      <c r="F81" s="57"/>
      <c r="G81" s="138">
        <v>1330</v>
      </c>
      <c r="H81" s="177">
        <v>0</v>
      </c>
    </row>
    <row r="82" spans="1:8" ht="13.5" thickBot="1">
      <c r="A82" s="219"/>
      <c r="B82" s="60">
        <v>4440</v>
      </c>
      <c r="C82" s="61" t="s">
        <v>72</v>
      </c>
      <c r="D82" s="62">
        <v>3305</v>
      </c>
      <c r="E82" s="57"/>
      <c r="F82" s="57"/>
      <c r="G82" s="138">
        <v>3387</v>
      </c>
      <c r="H82" s="178">
        <f t="shared" si="3"/>
        <v>1.0248108925869894</v>
      </c>
    </row>
    <row r="83" spans="1:8" ht="15" thickBot="1" thickTop="1">
      <c r="A83" s="211" t="s">
        <v>29</v>
      </c>
      <c r="B83" s="212"/>
      <c r="C83" s="212"/>
      <c r="D83" s="93">
        <f>SUM(D77:D82)</f>
        <v>139737</v>
      </c>
      <c r="E83" s="93">
        <f>SUM(E77:E82)</f>
        <v>0</v>
      </c>
      <c r="F83" s="93">
        <f>SUM(F77:F82)</f>
        <v>0</v>
      </c>
      <c r="G83" s="139">
        <f>SUM(G77:G82)</f>
        <v>140500</v>
      </c>
      <c r="H83" s="174">
        <f t="shared" si="3"/>
        <v>1.0054602574837015</v>
      </c>
    </row>
    <row r="84" spans="1:8" ht="14.25" customHeight="1" thickTop="1">
      <c r="A84" s="218">
        <v>75019</v>
      </c>
      <c r="B84" s="224" t="s">
        <v>80</v>
      </c>
      <c r="C84" s="225"/>
      <c r="D84" s="225"/>
      <c r="E84" s="225"/>
      <c r="F84" s="225"/>
      <c r="G84" s="225"/>
      <c r="H84" s="226"/>
    </row>
    <row r="85" spans="1:8" ht="24">
      <c r="A85" s="216"/>
      <c r="B85" s="13">
        <v>3030</v>
      </c>
      <c r="C85" s="11" t="s">
        <v>77</v>
      </c>
      <c r="D85" s="44">
        <v>132717</v>
      </c>
      <c r="E85" s="56">
        <v>0</v>
      </c>
      <c r="F85" s="56">
        <v>0</v>
      </c>
      <c r="G85" s="148">
        <v>134977</v>
      </c>
      <c r="H85" s="171">
        <f>G85/D85</f>
        <v>1.0170287152361792</v>
      </c>
    </row>
    <row r="86" spans="1:8" ht="24">
      <c r="A86" s="216"/>
      <c r="B86" s="10">
        <v>4010</v>
      </c>
      <c r="C86" s="11" t="s">
        <v>64</v>
      </c>
      <c r="D86" s="180">
        <v>33777</v>
      </c>
      <c r="E86" s="44">
        <v>0</v>
      </c>
      <c r="F86" s="44">
        <v>0</v>
      </c>
      <c r="G86" s="148">
        <v>34165</v>
      </c>
      <c r="H86" s="171">
        <f aca="true" t="shared" si="4" ref="H86:H95">G86/D86</f>
        <v>1.0114871066110074</v>
      </c>
    </row>
    <row r="87" spans="1:8" ht="12.75">
      <c r="A87" s="216"/>
      <c r="B87" s="10">
        <v>4040</v>
      </c>
      <c r="C87" s="11" t="s">
        <v>85</v>
      </c>
      <c r="D87" s="12">
        <v>2183</v>
      </c>
      <c r="E87" s="56">
        <v>0</v>
      </c>
      <c r="F87" s="56">
        <v>0</v>
      </c>
      <c r="G87" s="148">
        <v>2900</v>
      </c>
      <c r="H87" s="171">
        <f t="shared" si="4"/>
        <v>1.3284470911589557</v>
      </c>
    </row>
    <row r="88" spans="1:8" ht="14.25" customHeight="1">
      <c r="A88" s="216"/>
      <c r="B88" s="10">
        <v>4110</v>
      </c>
      <c r="C88" s="11" t="s">
        <v>84</v>
      </c>
      <c r="D88" s="12">
        <v>6195</v>
      </c>
      <c r="E88" s="56">
        <v>0</v>
      </c>
      <c r="F88" s="56">
        <v>0</v>
      </c>
      <c r="G88" s="179">
        <v>6400</v>
      </c>
      <c r="H88" s="171">
        <f t="shared" si="4"/>
        <v>1.033091202582728</v>
      </c>
    </row>
    <row r="89" spans="1:8" ht="12.75">
      <c r="A89" s="216"/>
      <c r="B89" s="10">
        <v>4120</v>
      </c>
      <c r="C89" s="11" t="s">
        <v>83</v>
      </c>
      <c r="D89" s="12">
        <v>881</v>
      </c>
      <c r="E89" s="56">
        <v>0</v>
      </c>
      <c r="F89" s="56">
        <v>0</v>
      </c>
      <c r="G89" s="148">
        <v>910</v>
      </c>
      <c r="H89" s="171">
        <f t="shared" si="4"/>
        <v>1.0329171396140748</v>
      </c>
    </row>
    <row r="90" spans="1:8" ht="12.75">
      <c r="A90" s="216"/>
      <c r="B90" s="10">
        <v>4170</v>
      </c>
      <c r="C90" s="181" t="s">
        <v>205</v>
      </c>
      <c r="D90" s="12">
        <v>400</v>
      </c>
      <c r="E90" s="12">
        <v>0</v>
      </c>
      <c r="F90" s="12">
        <v>0</v>
      </c>
      <c r="G90" s="148">
        <v>400</v>
      </c>
      <c r="H90" s="171">
        <f t="shared" si="4"/>
        <v>1</v>
      </c>
    </row>
    <row r="91" spans="1:8" ht="12.75">
      <c r="A91" s="216"/>
      <c r="B91" s="10">
        <v>4210</v>
      </c>
      <c r="C91" s="11" t="s">
        <v>67</v>
      </c>
      <c r="D91" s="12">
        <v>3703</v>
      </c>
      <c r="E91" s="56">
        <v>0</v>
      </c>
      <c r="F91" s="56">
        <v>0</v>
      </c>
      <c r="G91" s="148">
        <v>2200</v>
      </c>
      <c r="H91" s="171">
        <f t="shared" si="4"/>
        <v>0.594112881447475</v>
      </c>
    </row>
    <row r="92" spans="1:8" ht="12.75">
      <c r="A92" s="216"/>
      <c r="B92" s="10">
        <v>4300</v>
      </c>
      <c r="C92" s="11" t="s">
        <v>82</v>
      </c>
      <c r="D92" s="12">
        <v>2300</v>
      </c>
      <c r="E92" s="56">
        <v>0</v>
      </c>
      <c r="F92" s="56">
        <v>0</v>
      </c>
      <c r="G92" s="148">
        <v>3500</v>
      </c>
      <c r="H92" s="171">
        <f t="shared" si="4"/>
        <v>1.5217391304347827</v>
      </c>
    </row>
    <row r="93" spans="1:8" ht="12.75">
      <c r="A93" s="216"/>
      <c r="B93" s="10">
        <v>4410</v>
      </c>
      <c r="C93" s="11" t="s">
        <v>70</v>
      </c>
      <c r="D93" s="12">
        <v>300</v>
      </c>
      <c r="E93" s="56">
        <v>0</v>
      </c>
      <c r="F93" s="56">
        <v>0</v>
      </c>
      <c r="G93" s="148">
        <v>1200</v>
      </c>
      <c r="H93" s="171">
        <f t="shared" si="4"/>
        <v>4</v>
      </c>
    </row>
    <row r="94" spans="1:8" ht="12.75">
      <c r="A94" s="216"/>
      <c r="B94" s="10">
        <v>4430</v>
      </c>
      <c r="C94" s="11" t="s">
        <v>81</v>
      </c>
      <c r="D94" s="12">
        <v>2106</v>
      </c>
      <c r="E94" s="56">
        <v>0</v>
      </c>
      <c r="F94" s="56">
        <v>0</v>
      </c>
      <c r="G94" s="148">
        <v>12502</v>
      </c>
      <c r="H94" s="171">
        <f t="shared" si="4"/>
        <v>5.936372269705603</v>
      </c>
    </row>
    <row r="95" spans="1:8" ht="13.5" thickBot="1">
      <c r="A95" s="219"/>
      <c r="B95" s="60">
        <v>4440</v>
      </c>
      <c r="C95" s="61" t="s">
        <v>72</v>
      </c>
      <c r="D95" s="62">
        <v>1222</v>
      </c>
      <c r="E95" s="57">
        <v>0</v>
      </c>
      <c r="F95" s="57">
        <v>0</v>
      </c>
      <c r="G95" s="149">
        <v>1022</v>
      </c>
      <c r="H95" s="173">
        <f t="shared" si="4"/>
        <v>0.8363338788870703</v>
      </c>
    </row>
    <row r="96" spans="1:8" ht="15" thickBot="1" thickTop="1">
      <c r="A96" s="211" t="s">
        <v>200</v>
      </c>
      <c r="B96" s="212"/>
      <c r="C96" s="212"/>
      <c r="D96" s="63">
        <f>SUM(D85:D95)</f>
        <v>185784</v>
      </c>
      <c r="E96" s="63">
        <f>SUM(E85:E95)</f>
        <v>0</v>
      </c>
      <c r="F96" s="63">
        <f>SUM(F85:F95)</f>
        <v>0</v>
      </c>
      <c r="G96" s="63">
        <f>SUM(G85:G95)</f>
        <v>200176</v>
      </c>
      <c r="H96" s="174">
        <f>G96/D96</f>
        <v>1.0774663049562934</v>
      </c>
    </row>
    <row r="97" spans="1:8" ht="14.25" customHeight="1" thickTop="1">
      <c r="A97" s="203">
        <v>75020</v>
      </c>
      <c r="B97" s="224" t="s">
        <v>8</v>
      </c>
      <c r="C97" s="225"/>
      <c r="D97" s="225"/>
      <c r="E97" s="225"/>
      <c r="F97" s="225"/>
      <c r="G97" s="225"/>
      <c r="H97" s="226"/>
    </row>
    <row r="98" spans="1:8" ht="32.25" customHeight="1">
      <c r="A98" s="204"/>
      <c r="B98" s="10">
        <v>2310</v>
      </c>
      <c r="C98" s="11" t="s">
        <v>143</v>
      </c>
      <c r="D98" s="12">
        <v>2236</v>
      </c>
      <c r="E98" s="56">
        <v>0</v>
      </c>
      <c r="F98" s="56">
        <v>0</v>
      </c>
      <c r="G98" s="145">
        <v>2500</v>
      </c>
      <c r="H98" s="176">
        <f>G98/D98</f>
        <v>1.118067978533095</v>
      </c>
    </row>
    <row r="99" spans="1:8" ht="27" customHeight="1">
      <c r="A99" s="204"/>
      <c r="B99" s="10">
        <v>3020</v>
      </c>
      <c r="C99" s="11" t="s">
        <v>216</v>
      </c>
      <c r="D99" s="12">
        <v>12000</v>
      </c>
      <c r="E99" s="56">
        <v>0</v>
      </c>
      <c r="F99" s="56">
        <v>0</v>
      </c>
      <c r="G99" s="145">
        <v>12000</v>
      </c>
      <c r="H99" s="176">
        <f aca="true" t="shared" si="5" ref="H99:H119">G99/D99</f>
        <v>1</v>
      </c>
    </row>
    <row r="100" spans="1:8" ht="24" customHeight="1">
      <c r="A100" s="204"/>
      <c r="B100" s="10">
        <v>4010</v>
      </c>
      <c r="C100" s="11" t="s">
        <v>64</v>
      </c>
      <c r="D100" s="12">
        <v>1282000</v>
      </c>
      <c r="E100" s="56">
        <v>0</v>
      </c>
      <c r="F100" s="56">
        <v>0</v>
      </c>
      <c r="G100" s="145">
        <v>1570840</v>
      </c>
      <c r="H100" s="176">
        <f t="shared" si="5"/>
        <v>1.2253042121684867</v>
      </c>
    </row>
    <row r="101" spans="1:8" ht="12.75" customHeight="1">
      <c r="A101" s="204"/>
      <c r="B101" s="10">
        <v>4040</v>
      </c>
      <c r="C101" s="11" t="s">
        <v>85</v>
      </c>
      <c r="D101" s="12">
        <v>76008</v>
      </c>
      <c r="E101" s="56">
        <v>0</v>
      </c>
      <c r="F101" s="56">
        <v>0</v>
      </c>
      <c r="G101" s="145">
        <v>132600</v>
      </c>
      <c r="H101" s="176">
        <f t="shared" si="5"/>
        <v>1.7445532049257972</v>
      </c>
    </row>
    <row r="102" spans="1:8" ht="15" customHeight="1">
      <c r="A102" s="204"/>
      <c r="B102" s="10">
        <v>4110</v>
      </c>
      <c r="C102" s="11" t="s">
        <v>84</v>
      </c>
      <c r="D102" s="12">
        <v>234056</v>
      </c>
      <c r="E102" s="56">
        <v>0</v>
      </c>
      <c r="F102" s="56">
        <v>0</v>
      </c>
      <c r="G102" s="145">
        <v>293503</v>
      </c>
      <c r="H102" s="176">
        <f t="shared" si="5"/>
        <v>1.2539862255186793</v>
      </c>
    </row>
    <row r="103" spans="1:8" ht="12.75" customHeight="1">
      <c r="A103" s="204"/>
      <c r="B103" s="10">
        <v>4120</v>
      </c>
      <c r="C103" s="11" t="s">
        <v>83</v>
      </c>
      <c r="D103" s="12">
        <v>36895</v>
      </c>
      <c r="E103" s="56">
        <v>0</v>
      </c>
      <c r="F103" s="56">
        <v>0</v>
      </c>
      <c r="G103" s="145">
        <v>41735</v>
      </c>
      <c r="H103" s="176">
        <f t="shared" si="5"/>
        <v>1.1311830871391788</v>
      </c>
    </row>
    <row r="104" spans="1:8" ht="12.75" customHeight="1">
      <c r="A104" s="204"/>
      <c r="B104" s="123">
        <v>4170</v>
      </c>
      <c r="C104" s="132" t="s">
        <v>242</v>
      </c>
      <c r="D104" s="12">
        <v>6500</v>
      </c>
      <c r="E104" s="56">
        <v>0</v>
      </c>
      <c r="F104" s="56">
        <v>0</v>
      </c>
      <c r="G104" s="145">
        <v>6500</v>
      </c>
      <c r="H104" s="176">
        <f t="shared" si="5"/>
        <v>1</v>
      </c>
    </row>
    <row r="105" spans="1:8" ht="12.75" customHeight="1">
      <c r="A105" s="204"/>
      <c r="B105" s="123">
        <v>4140</v>
      </c>
      <c r="C105" s="130" t="s">
        <v>236</v>
      </c>
      <c r="D105" s="12">
        <v>1000</v>
      </c>
      <c r="E105" s="12">
        <v>0</v>
      </c>
      <c r="F105" s="12">
        <v>0</v>
      </c>
      <c r="G105" s="145">
        <v>1000</v>
      </c>
      <c r="H105" s="176">
        <f t="shared" si="5"/>
        <v>1</v>
      </c>
    </row>
    <row r="106" spans="1:8" ht="12.75" customHeight="1">
      <c r="A106" s="204"/>
      <c r="B106" s="10">
        <v>4210</v>
      </c>
      <c r="C106" s="11" t="s">
        <v>67</v>
      </c>
      <c r="D106" s="12">
        <v>769548</v>
      </c>
      <c r="E106" s="56">
        <v>0</v>
      </c>
      <c r="F106" s="56">
        <v>0</v>
      </c>
      <c r="G106" s="145">
        <v>440000</v>
      </c>
      <c r="H106" s="176">
        <f t="shared" si="5"/>
        <v>0.5717642044420881</v>
      </c>
    </row>
    <row r="107" spans="1:8" ht="12.75" customHeight="1">
      <c r="A107" s="204"/>
      <c r="B107" s="10">
        <v>4230</v>
      </c>
      <c r="C107" s="11" t="s">
        <v>92</v>
      </c>
      <c r="D107" s="12">
        <v>100</v>
      </c>
      <c r="E107" s="56">
        <v>0</v>
      </c>
      <c r="F107" s="56">
        <v>0</v>
      </c>
      <c r="G107" s="145">
        <v>100</v>
      </c>
      <c r="H107" s="176">
        <f t="shared" si="5"/>
        <v>1</v>
      </c>
    </row>
    <row r="108" spans="1:8" ht="12.75" customHeight="1">
      <c r="A108" s="204"/>
      <c r="B108" s="10">
        <v>4260</v>
      </c>
      <c r="C108" s="11" t="s">
        <v>132</v>
      </c>
      <c r="D108" s="12">
        <v>53000</v>
      </c>
      <c r="E108" s="56">
        <v>0</v>
      </c>
      <c r="F108" s="56">
        <v>0</v>
      </c>
      <c r="G108" s="145">
        <v>53000</v>
      </c>
      <c r="H108" s="176">
        <f t="shared" si="5"/>
        <v>1</v>
      </c>
    </row>
    <row r="109" spans="1:8" ht="12.75" customHeight="1">
      <c r="A109" s="204"/>
      <c r="B109" s="10">
        <v>4270</v>
      </c>
      <c r="C109" s="11" t="s">
        <v>133</v>
      </c>
      <c r="D109" s="12">
        <v>21400</v>
      </c>
      <c r="E109" s="56">
        <v>0</v>
      </c>
      <c r="F109" s="56">
        <v>0</v>
      </c>
      <c r="G109" s="145">
        <v>25000</v>
      </c>
      <c r="H109" s="176">
        <f t="shared" si="5"/>
        <v>1.1682242990654206</v>
      </c>
    </row>
    <row r="110" spans="1:8" ht="12.75" customHeight="1">
      <c r="A110" s="204"/>
      <c r="B110" s="10">
        <v>4280</v>
      </c>
      <c r="C110" s="11" t="s">
        <v>104</v>
      </c>
      <c r="D110" s="12">
        <v>3000</v>
      </c>
      <c r="E110" s="56">
        <v>0</v>
      </c>
      <c r="F110" s="56">
        <v>0</v>
      </c>
      <c r="G110" s="145">
        <v>4800</v>
      </c>
      <c r="H110" s="176">
        <f t="shared" si="5"/>
        <v>1.6</v>
      </c>
    </row>
    <row r="111" spans="1:8" ht="12.75" customHeight="1">
      <c r="A111" s="204"/>
      <c r="B111" s="10">
        <v>4300</v>
      </c>
      <c r="C111" s="11" t="s">
        <v>62</v>
      </c>
      <c r="D111" s="12">
        <v>336919</v>
      </c>
      <c r="E111" s="56">
        <v>0</v>
      </c>
      <c r="F111" s="56">
        <v>0</v>
      </c>
      <c r="G111" s="145">
        <v>286919</v>
      </c>
      <c r="H111" s="176">
        <f t="shared" si="5"/>
        <v>0.8515963777643885</v>
      </c>
    </row>
    <row r="112" spans="1:8" ht="12.75" customHeight="1">
      <c r="A112" s="204"/>
      <c r="B112" s="10">
        <v>4350</v>
      </c>
      <c r="C112" s="11" t="s">
        <v>209</v>
      </c>
      <c r="D112" s="12">
        <v>3500</v>
      </c>
      <c r="E112" s="56">
        <v>0</v>
      </c>
      <c r="F112" s="56">
        <v>0</v>
      </c>
      <c r="G112" s="145">
        <v>4000</v>
      </c>
      <c r="H112" s="176">
        <f t="shared" si="5"/>
        <v>1.1428571428571428</v>
      </c>
    </row>
    <row r="113" spans="1:8" ht="12.75" customHeight="1">
      <c r="A113" s="204"/>
      <c r="B113" s="10">
        <v>4410</v>
      </c>
      <c r="C113" s="11" t="s">
        <v>70</v>
      </c>
      <c r="D113" s="12">
        <v>40000</v>
      </c>
      <c r="E113" s="56">
        <v>0</v>
      </c>
      <c r="F113" s="56">
        <v>0</v>
      </c>
      <c r="G113" s="145">
        <v>35000</v>
      </c>
      <c r="H113" s="176">
        <f t="shared" si="5"/>
        <v>0.875</v>
      </c>
    </row>
    <row r="114" spans="1:8" ht="12.75" customHeight="1">
      <c r="A114" s="204"/>
      <c r="B114" s="10">
        <v>4420</v>
      </c>
      <c r="C114" s="11" t="s">
        <v>234</v>
      </c>
      <c r="D114" s="12">
        <v>2875</v>
      </c>
      <c r="E114" s="56">
        <v>0</v>
      </c>
      <c r="F114" s="56">
        <v>0</v>
      </c>
      <c r="G114" s="145">
        <v>0</v>
      </c>
      <c r="H114" s="176">
        <f t="shared" si="5"/>
        <v>0</v>
      </c>
    </row>
    <row r="115" spans="1:8" ht="12.75" customHeight="1">
      <c r="A115" s="204"/>
      <c r="B115" s="10">
        <v>4430</v>
      </c>
      <c r="C115" s="11" t="s">
        <v>81</v>
      </c>
      <c r="D115" s="12">
        <v>16901</v>
      </c>
      <c r="E115" s="56">
        <v>0</v>
      </c>
      <c r="F115" s="56">
        <v>0</v>
      </c>
      <c r="G115" s="145">
        <v>7000</v>
      </c>
      <c r="H115" s="176">
        <f t="shared" si="5"/>
        <v>0.4141766759363351</v>
      </c>
    </row>
    <row r="116" spans="1:8" ht="12.75" customHeight="1">
      <c r="A116" s="204"/>
      <c r="B116" s="10">
        <v>4440</v>
      </c>
      <c r="C116" s="11" t="s">
        <v>72</v>
      </c>
      <c r="D116" s="12">
        <v>44020</v>
      </c>
      <c r="E116" s="56">
        <v>0</v>
      </c>
      <c r="F116" s="56">
        <v>0</v>
      </c>
      <c r="G116" s="145">
        <v>33000</v>
      </c>
      <c r="H116" s="176">
        <f t="shared" si="5"/>
        <v>0.7496592457973649</v>
      </c>
    </row>
    <row r="117" spans="1:8" ht="12.75" customHeight="1">
      <c r="A117" s="204"/>
      <c r="B117" s="10">
        <v>4480</v>
      </c>
      <c r="C117" s="11" t="s">
        <v>73</v>
      </c>
      <c r="D117" s="12">
        <v>6982</v>
      </c>
      <c r="E117" s="56">
        <v>0</v>
      </c>
      <c r="F117" s="56">
        <v>0</v>
      </c>
      <c r="G117" s="145">
        <v>6982</v>
      </c>
      <c r="H117" s="176">
        <f t="shared" si="5"/>
        <v>1</v>
      </c>
    </row>
    <row r="118" spans="1:8" ht="13.5" customHeight="1">
      <c r="A118" s="204"/>
      <c r="B118" s="98" t="s">
        <v>87</v>
      </c>
      <c r="C118" s="61" t="s">
        <v>223</v>
      </c>
      <c r="D118" s="62">
        <v>170163</v>
      </c>
      <c r="E118" s="57">
        <v>0</v>
      </c>
      <c r="F118" s="57">
        <v>0</v>
      </c>
      <c r="G118" s="138">
        <v>85800</v>
      </c>
      <c r="H118" s="177">
        <f t="shared" si="5"/>
        <v>0.5042224220306412</v>
      </c>
    </row>
    <row r="119" spans="1:8" ht="36.75" customHeight="1" thickBot="1">
      <c r="A119" s="223"/>
      <c r="B119" s="131" t="s">
        <v>238</v>
      </c>
      <c r="C119" s="78" t="s">
        <v>224</v>
      </c>
      <c r="D119" s="106">
        <v>12230</v>
      </c>
      <c r="E119" s="67">
        <v>0</v>
      </c>
      <c r="F119" s="67">
        <v>0</v>
      </c>
      <c r="G119" s="147">
        <v>0</v>
      </c>
      <c r="H119" s="178">
        <f t="shared" si="5"/>
        <v>0</v>
      </c>
    </row>
    <row r="120" spans="1:8" ht="15" customHeight="1" thickBot="1" thickTop="1">
      <c r="A120" s="211" t="s">
        <v>32</v>
      </c>
      <c r="B120" s="212"/>
      <c r="C120" s="212"/>
      <c r="D120" s="63">
        <f>SUM(D98:D119)</f>
        <v>3131333</v>
      </c>
      <c r="E120" s="63">
        <f>SUM(E98:E119)</f>
        <v>0</v>
      </c>
      <c r="F120" s="63">
        <f>SUM(F98:F119)</f>
        <v>0</v>
      </c>
      <c r="G120" s="139">
        <f>SUM(G98:G119)</f>
        <v>3042279</v>
      </c>
      <c r="H120" s="166">
        <f>G120/D120</f>
        <v>0.9715603546476852</v>
      </c>
    </row>
    <row r="121" spans="1:8" ht="14.25" customHeight="1" thickTop="1">
      <c r="A121" s="215">
        <v>75045</v>
      </c>
      <c r="B121" s="224" t="s">
        <v>9</v>
      </c>
      <c r="C121" s="225"/>
      <c r="D121" s="225"/>
      <c r="E121" s="225"/>
      <c r="F121" s="225"/>
      <c r="G121" s="225"/>
      <c r="H121" s="226"/>
    </row>
    <row r="122" spans="1:8" ht="24" customHeight="1">
      <c r="A122" s="216"/>
      <c r="B122" s="10">
        <v>3030</v>
      </c>
      <c r="C122" s="11" t="s">
        <v>77</v>
      </c>
      <c r="D122" s="12">
        <v>8882</v>
      </c>
      <c r="E122" s="56">
        <v>0</v>
      </c>
      <c r="F122" s="56">
        <v>0</v>
      </c>
      <c r="G122" s="145">
        <v>7500</v>
      </c>
      <c r="H122" s="176">
        <f aca="true" t="shared" si="6" ref="H122:H129">G122/D122</f>
        <v>0.8444044134204008</v>
      </c>
    </row>
    <row r="123" spans="1:8" ht="12.75" customHeight="1">
      <c r="A123" s="216"/>
      <c r="B123" s="10">
        <v>4170</v>
      </c>
      <c r="C123" s="11" t="s">
        <v>203</v>
      </c>
      <c r="D123" s="12">
        <v>5000</v>
      </c>
      <c r="E123" s="56">
        <v>0</v>
      </c>
      <c r="F123" s="56">
        <v>0</v>
      </c>
      <c r="G123" s="145">
        <v>5000</v>
      </c>
      <c r="H123" s="176">
        <f t="shared" si="6"/>
        <v>1</v>
      </c>
    </row>
    <row r="124" spans="1:8" ht="12.75" customHeight="1">
      <c r="A124" s="216"/>
      <c r="B124" s="10">
        <v>4110</v>
      </c>
      <c r="C124" s="11" t="s">
        <v>246</v>
      </c>
      <c r="D124" s="12">
        <v>0</v>
      </c>
      <c r="E124" s="56"/>
      <c r="F124" s="56"/>
      <c r="G124" s="145">
        <v>200</v>
      </c>
      <c r="H124" s="176">
        <v>0</v>
      </c>
    </row>
    <row r="125" spans="1:8" ht="12.75" customHeight="1">
      <c r="A125" s="216"/>
      <c r="B125" s="10">
        <v>4120</v>
      </c>
      <c r="C125" s="11" t="s">
        <v>83</v>
      </c>
      <c r="D125" s="12">
        <v>0</v>
      </c>
      <c r="E125" s="56"/>
      <c r="F125" s="56"/>
      <c r="G125" s="145">
        <v>25</v>
      </c>
      <c r="H125" s="176">
        <v>0</v>
      </c>
    </row>
    <row r="126" spans="1:8" ht="12.75" customHeight="1">
      <c r="A126" s="216"/>
      <c r="B126" s="10">
        <v>4210</v>
      </c>
      <c r="C126" s="11" t="s">
        <v>67</v>
      </c>
      <c r="D126" s="12">
        <v>511</v>
      </c>
      <c r="E126" s="56">
        <v>0</v>
      </c>
      <c r="F126" s="56">
        <v>0</v>
      </c>
      <c r="G126" s="145">
        <v>3975</v>
      </c>
      <c r="H126" s="176">
        <f t="shared" si="6"/>
        <v>7.778864970645793</v>
      </c>
    </row>
    <row r="127" spans="1:8" ht="12.75" customHeight="1">
      <c r="A127" s="216"/>
      <c r="B127" s="10">
        <v>4300</v>
      </c>
      <c r="C127" s="11" t="s">
        <v>82</v>
      </c>
      <c r="D127" s="12">
        <v>22527</v>
      </c>
      <c r="E127" s="56">
        <v>0</v>
      </c>
      <c r="F127" s="56">
        <v>0</v>
      </c>
      <c r="G127" s="145">
        <v>20100</v>
      </c>
      <c r="H127" s="176">
        <f t="shared" si="6"/>
        <v>0.8922626181915035</v>
      </c>
    </row>
    <row r="128" spans="1:8" ht="13.5" customHeight="1" thickBot="1">
      <c r="A128" s="217"/>
      <c r="B128" s="64">
        <v>4410</v>
      </c>
      <c r="C128" s="65" t="s">
        <v>70</v>
      </c>
      <c r="D128" s="106">
        <v>80</v>
      </c>
      <c r="E128" s="67">
        <v>0</v>
      </c>
      <c r="F128" s="67">
        <v>0</v>
      </c>
      <c r="G128" s="147">
        <v>200</v>
      </c>
      <c r="H128" s="178">
        <f t="shared" si="6"/>
        <v>2.5</v>
      </c>
    </row>
    <row r="129" spans="1:8" ht="15" customHeight="1" thickBot="1" thickTop="1">
      <c r="A129" s="211" t="s">
        <v>31</v>
      </c>
      <c r="B129" s="212"/>
      <c r="C129" s="212"/>
      <c r="D129" s="63">
        <f>SUM(D122:D128)</f>
        <v>37000</v>
      </c>
      <c r="E129" s="63">
        <f>SUM(E122:E128)</f>
        <v>0</v>
      </c>
      <c r="F129" s="63">
        <f>SUM(F122:F128)</f>
        <v>0</v>
      </c>
      <c r="G129" s="139">
        <f>SUM(G122:G128)</f>
        <v>37000</v>
      </c>
      <c r="H129" s="174">
        <f t="shared" si="6"/>
        <v>1</v>
      </c>
    </row>
    <row r="130" spans="1:8" ht="14.25" customHeight="1" thickTop="1">
      <c r="A130" s="218">
        <v>75095</v>
      </c>
      <c r="B130" s="234" t="s">
        <v>58</v>
      </c>
      <c r="C130" s="245"/>
      <c r="D130" s="245"/>
      <c r="E130" s="245"/>
      <c r="F130" s="245"/>
      <c r="G130" s="245"/>
      <c r="H130" s="246"/>
    </row>
    <row r="131" spans="1:8" ht="48" customHeight="1">
      <c r="A131" s="216"/>
      <c r="B131" s="10">
        <v>2310</v>
      </c>
      <c r="C131" s="11" t="s">
        <v>143</v>
      </c>
      <c r="D131" s="12">
        <v>0</v>
      </c>
      <c r="E131" s="56">
        <v>0</v>
      </c>
      <c r="F131" s="56">
        <v>0</v>
      </c>
      <c r="G131" s="145">
        <v>4000</v>
      </c>
      <c r="H131" s="176"/>
    </row>
    <row r="132" spans="1:8" ht="24" customHeight="1">
      <c r="A132" s="216"/>
      <c r="B132" s="10">
        <v>2630</v>
      </c>
      <c r="C132" s="11" t="s">
        <v>137</v>
      </c>
      <c r="D132" s="12">
        <v>1000</v>
      </c>
      <c r="E132" s="56">
        <v>0</v>
      </c>
      <c r="F132" s="56">
        <v>0</v>
      </c>
      <c r="G132" s="145">
        <v>2000</v>
      </c>
      <c r="H132" s="176">
        <f aca="true" t="shared" si="7" ref="H132:H138">G132/D132</f>
        <v>2</v>
      </c>
    </row>
    <row r="133" spans="1:8" ht="24" customHeight="1">
      <c r="A133" s="216"/>
      <c r="B133" s="10">
        <v>2820</v>
      </c>
      <c r="C133" s="11" t="s">
        <v>252</v>
      </c>
      <c r="D133" s="12">
        <v>1000</v>
      </c>
      <c r="E133" s="56"/>
      <c r="F133" s="56"/>
      <c r="G133" s="145">
        <v>0</v>
      </c>
      <c r="H133" s="176">
        <f t="shared" si="7"/>
        <v>0</v>
      </c>
    </row>
    <row r="134" spans="1:8" ht="12.75" customHeight="1">
      <c r="A134" s="216"/>
      <c r="B134" s="10">
        <v>4210</v>
      </c>
      <c r="C134" s="11" t="s">
        <v>67</v>
      </c>
      <c r="D134" s="12">
        <v>17200</v>
      </c>
      <c r="E134" s="56">
        <v>0</v>
      </c>
      <c r="F134" s="56">
        <v>0</v>
      </c>
      <c r="G134" s="145">
        <v>5000</v>
      </c>
      <c r="H134" s="176">
        <f t="shared" si="7"/>
        <v>0.29069767441860467</v>
      </c>
    </row>
    <row r="135" spans="1:8" ht="12.75" customHeight="1">
      <c r="A135" s="216"/>
      <c r="B135" s="10">
        <v>4300</v>
      </c>
      <c r="C135" s="11" t="s">
        <v>62</v>
      </c>
      <c r="D135" s="12">
        <v>1500</v>
      </c>
      <c r="E135" s="56">
        <v>0</v>
      </c>
      <c r="F135" s="56">
        <v>0</v>
      </c>
      <c r="G135" s="145">
        <v>3000</v>
      </c>
      <c r="H135" s="176">
        <f t="shared" si="7"/>
        <v>2</v>
      </c>
    </row>
    <row r="136" spans="1:8" ht="13.5" customHeight="1" thickBot="1">
      <c r="A136" s="219"/>
      <c r="B136" s="60">
        <v>4430</v>
      </c>
      <c r="C136" s="61" t="s">
        <v>81</v>
      </c>
      <c r="D136" s="62">
        <v>9516</v>
      </c>
      <c r="E136" s="57">
        <v>0</v>
      </c>
      <c r="F136" s="57">
        <v>0</v>
      </c>
      <c r="G136" s="138">
        <v>1000</v>
      </c>
      <c r="H136" s="178">
        <f t="shared" si="7"/>
        <v>0.10508617065994115</v>
      </c>
    </row>
    <row r="137" spans="1:8" ht="15" customHeight="1" thickBot="1" thickTop="1">
      <c r="A137" s="211" t="s">
        <v>144</v>
      </c>
      <c r="B137" s="212"/>
      <c r="C137" s="212"/>
      <c r="D137" s="63">
        <f>SUM(D131:D136)</f>
        <v>30216</v>
      </c>
      <c r="E137" s="63">
        <f>SUM(E131:E136)</f>
        <v>0</v>
      </c>
      <c r="F137" s="63">
        <f>SUM(F131:F136)</f>
        <v>0</v>
      </c>
      <c r="G137" s="63">
        <f>SUM(G131:G136)</f>
        <v>15000</v>
      </c>
      <c r="H137" s="174">
        <f t="shared" si="7"/>
        <v>0.4964257347100874</v>
      </c>
    </row>
    <row r="138" spans="1:8" ht="16.5" customHeight="1" thickBot="1" thickTop="1">
      <c r="A138" s="213" t="s">
        <v>54</v>
      </c>
      <c r="B138" s="214"/>
      <c r="C138" s="214"/>
      <c r="D138" s="51">
        <f>D83+D120+D129+D137+D96</f>
        <v>3524070</v>
      </c>
      <c r="E138" s="52">
        <f>E83+E120+E129+E137+E96</f>
        <v>0</v>
      </c>
      <c r="F138" s="52">
        <f>F83+F120+F129+F137+F96</f>
        <v>0</v>
      </c>
      <c r="G138" s="140">
        <f>G83+G120+G129+G137+G96</f>
        <v>3434955</v>
      </c>
      <c r="H138" s="175">
        <f t="shared" si="7"/>
        <v>0.9747124773344457</v>
      </c>
    </row>
    <row r="139" spans="1:8" ht="21" thickBot="1" thickTop="1">
      <c r="A139" s="227" t="s">
        <v>34</v>
      </c>
      <c r="B139" s="228"/>
      <c r="C139" s="228"/>
      <c r="D139" s="228"/>
      <c r="E139" s="228"/>
      <c r="F139" s="228"/>
      <c r="G139" s="228"/>
      <c r="H139" s="229"/>
    </row>
    <row r="140" spans="1:8" ht="14.25" thickTop="1">
      <c r="A140" s="204">
        <v>75405</v>
      </c>
      <c r="B140" s="233" t="s">
        <v>253</v>
      </c>
      <c r="C140" s="233"/>
      <c r="D140" s="233"/>
      <c r="E140" s="233"/>
      <c r="F140" s="233"/>
      <c r="G140" s="234"/>
      <c r="H140" s="167"/>
    </row>
    <row r="141" spans="1:8" ht="24.75" thickBot="1">
      <c r="A141" s="205"/>
      <c r="B141" s="131" t="s">
        <v>87</v>
      </c>
      <c r="C141" s="65" t="s">
        <v>223</v>
      </c>
      <c r="D141" s="106">
        <v>80000</v>
      </c>
      <c r="E141" s="67">
        <v>0</v>
      </c>
      <c r="F141" s="67">
        <v>0</v>
      </c>
      <c r="G141" s="147">
        <v>0</v>
      </c>
      <c r="H141" s="178">
        <f>G141/D141</f>
        <v>0</v>
      </c>
    </row>
    <row r="142" spans="1:8" ht="15" thickBot="1" thickTop="1">
      <c r="A142" s="211" t="s">
        <v>254</v>
      </c>
      <c r="B142" s="212"/>
      <c r="C142" s="212"/>
      <c r="D142" s="63">
        <f>SUM(D141:D141)</f>
        <v>80000</v>
      </c>
      <c r="E142" s="63">
        <f>SUM(E141:E141)</f>
        <v>0</v>
      </c>
      <c r="F142" s="63">
        <f>SUM(F141:F141)</f>
        <v>0</v>
      </c>
      <c r="G142" s="139">
        <f>SUM(G141:G141)</f>
        <v>0</v>
      </c>
      <c r="H142" s="174">
        <f>G142/D142</f>
        <v>0</v>
      </c>
    </row>
    <row r="143" spans="1:8" ht="15" customHeight="1" thickTop="1">
      <c r="A143" s="204">
        <v>75411</v>
      </c>
      <c r="B143" s="233" t="s">
        <v>10</v>
      </c>
      <c r="C143" s="233"/>
      <c r="D143" s="233"/>
      <c r="E143" s="233"/>
      <c r="F143" s="233"/>
      <c r="G143" s="234"/>
      <c r="H143" s="167"/>
    </row>
    <row r="144" spans="1:8" ht="24">
      <c r="A144" s="204"/>
      <c r="B144" s="13">
        <v>3070</v>
      </c>
      <c r="C144" s="14" t="s">
        <v>216</v>
      </c>
      <c r="D144" s="12">
        <v>155600</v>
      </c>
      <c r="E144" s="56">
        <v>0</v>
      </c>
      <c r="F144" s="56">
        <v>0</v>
      </c>
      <c r="G144" s="145">
        <v>180000</v>
      </c>
      <c r="H144" s="176">
        <f>G144/D144</f>
        <v>1.1568123393316196</v>
      </c>
    </row>
    <row r="145" spans="1:8" ht="24">
      <c r="A145" s="204"/>
      <c r="B145" s="10">
        <v>4010</v>
      </c>
      <c r="C145" s="11" t="s">
        <v>64</v>
      </c>
      <c r="D145" s="12">
        <v>7770</v>
      </c>
      <c r="E145" s="56">
        <v>0</v>
      </c>
      <c r="F145" s="56">
        <v>0</v>
      </c>
      <c r="G145" s="145">
        <v>8940</v>
      </c>
      <c r="H145" s="176">
        <f aca="true" t="shared" si="8" ref="H145:H167">G145/D145</f>
        <v>1.1505791505791505</v>
      </c>
    </row>
    <row r="146" spans="1:8" ht="12.75">
      <c r="A146" s="204"/>
      <c r="B146" s="10">
        <v>4040</v>
      </c>
      <c r="C146" s="11" t="s">
        <v>85</v>
      </c>
      <c r="D146" s="12">
        <v>595</v>
      </c>
      <c r="E146" s="56">
        <v>0</v>
      </c>
      <c r="F146" s="56">
        <v>0</v>
      </c>
      <c r="G146" s="145">
        <v>750</v>
      </c>
      <c r="H146" s="176">
        <f t="shared" si="8"/>
        <v>1.2605042016806722</v>
      </c>
    </row>
    <row r="147" spans="1:8" ht="12.75">
      <c r="A147" s="204"/>
      <c r="B147" s="10">
        <v>4050</v>
      </c>
      <c r="C147" s="11" t="s">
        <v>89</v>
      </c>
      <c r="D147" s="12">
        <v>1142300</v>
      </c>
      <c r="E147" s="56">
        <v>0</v>
      </c>
      <c r="F147" s="56">
        <v>0</v>
      </c>
      <c r="G147" s="145">
        <v>1178800</v>
      </c>
      <c r="H147" s="176">
        <f t="shared" si="8"/>
        <v>1.0319530771250984</v>
      </c>
    </row>
    <row r="148" spans="1:8" ht="24">
      <c r="A148" s="204"/>
      <c r="B148" s="10">
        <v>4060</v>
      </c>
      <c r="C148" s="11" t="s">
        <v>90</v>
      </c>
      <c r="D148" s="12">
        <v>108846</v>
      </c>
      <c r="E148" s="56">
        <v>0</v>
      </c>
      <c r="F148" s="56">
        <v>0</v>
      </c>
      <c r="G148" s="145">
        <v>69000</v>
      </c>
      <c r="H148" s="176">
        <f t="shared" si="8"/>
        <v>0.6339231574885619</v>
      </c>
    </row>
    <row r="149" spans="1:8" ht="24">
      <c r="A149" s="204"/>
      <c r="B149" s="10">
        <v>4070</v>
      </c>
      <c r="C149" s="11" t="s">
        <v>91</v>
      </c>
      <c r="D149" s="12">
        <v>93495</v>
      </c>
      <c r="E149" s="56">
        <v>0</v>
      </c>
      <c r="F149" s="56">
        <v>0</v>
      </c>
      <c r="G149" s="145">
        <v>99300</v>
      </c>
      <c r="H149" s="176">
        <f t="shared" si="8"/>
        <v>1.062088881758383</v>
      </c>
    </row>
    <row r="150" spans="1:8" ht="16.5" customHeight="1">
      <c r="A150" s="204"/>
      <c r="B150" s="10">
        <v>4110</v>
      </c>
      <c r="C150" s="11" t="s">
        <v>84</v>
      </c>
      <c r="D150" s="12">
        <v>1520</v>
      </c>
      <c r="E150" s="56">
        <v>0</v>
      </c>
      <c r="F150" s="56">
        <v>0</v>
      </c>
      <c r="G150" s="145">
        <v>1580</v>
      </c>
      <c r="H150" s="176">
        <f t="shared" si="8"/>
        <v>1.0394736842105263</v>
      </c>
    </row>
    <row r="151" spans="1:8" ht="12.75">
      <c r="A151" s="204"/>
      <c r="B151" s="10">
        <v>4120</v>
      </c>
      <c r="C151" s="11" t="s">
        <v>83</v>
      </c>
      <c r="D151" s="12">
        <v>110</v>
      </c>
      <c r="E151" s="56">
        <v>0</v>
      </c>
      <c r="F151" s="56">
        <v>0</v>
      </c>
      <c r="G151" s="145">
        <v>240</v>
      </c>
      <c r="H151" s="176">
        <f t="shared" si="8"/>
        <v>2.1818181818181817</v>
      </c>
    </row>
    <row r="152" spans="1:8" ht="12.75">
      <c r="A152" s="204"/>
      <c r="B152" s="10">
        <v>4170</v>
      </c>
      <c r="C152" s="11" t="s">
        <v>205</v>
      </c>
      <c r="D152" s="12">
        <v>2921</v>
      </c>
      <c r="E152" s="56">
        <v>0</v>
      </c>
      <c r="F152" s="56">
        <v>0</v>
      </c>
      <c r="G152" s="145">
        <v>0</v>
      </c>
      <c r="H152" s="176">
        <f t="shared" si="8"/>
        <v>0</v>
      </c>
    </row>
    <row r="153" spans="1:8" ht="24">
      <c r="A153" s="204"/>
      <c r="B153" s="10">
        <v>4180</v>
      </c>
      <c r="C153" s="11" t="s">
        <v>217</v>
      </c>
      <c r="D153" s="12">
        <v>77253</v>
      </c>
      <c r="E153" s="56">
        <v>0</v>
      </c>
      <c r="F153" s="56">
        <v>0</v>
      </c>
      <c r="G153" s="145">
        <v>94000</v>
      </c>
      <c r="H153" s="176">
        <f t="shared" si="8"/>
        <v>1.2167812253245829</v>
      </c>
    </row>
    <row r="154" spans="1:8" ht="12.75">
      <c r="A154" s="204"/>
      <c r="B154" s="10">
        <v>4210</v>
      </c>
      <c r="C154" s="11" t="s">
        <v>67</v>
      </c>
      <c r="D154" s="12">
        <v>97018</v>
      </c>
      <c r="E154" s="56">
        <v>0</v>
      </c>
      <c r="F154" s="56">
        <v>0</v>
      </c>
      <c r="G154" s="145">
        <v>93190</v>
      </c>
      <c r="H154" s="176">
        <f t="shared" si="8"/>
        <v>0.9605434043167247</v>
      </c>
    </row>
    <row r="155" spans="1:8" ht="12.75">
      <c r="A155" s="204"/>
      <c r="B155" s="10">
        <v>4220</v>
      </c>
      <c r="C155" s="11" t="s">
        <v>93</v>
      </c>
      <c r="D155" s="12">
        <v>0</v>
      </c>
      <c r="E155" s="56">
        <v>0</v>
      </c>
      <c r="F155" s="56">
        <v>0</v>
      </c>
      <c r="G155" s="145">
        <v>100</v>
      </c>
      <c r="H155" s="176"/>
    </row>
    <row r="156" spans="1:8" ht="12.75">
      <c r="A156" s="204"/>
      <c r="B156" s="10">
        <v>4230</v>
      </c>
      <c r="C156" s="11" t="s">
        <v>92</v>
      </c>
      <c r="D156" s="12">
        <v>100</v>
      </c>
      <c r="E156" s="56">
        <v>0</v>
      </c>
      <c r="F156" s="56">
        <v>0</v>
      </c>
      <c r="G156" s="145">
        <v>0</v>
      </c>
      <c r="H156" s="176">
        <f t="shared" si="8"/>
        <v>0</v>
      </c>
    </row>
    <row r="157" spans="1:8" ht="12.75">
      <c r="A157" s="204"/>
      <c r="B157" s="10">
        <v>4260</v>
      </c>
      <c r="C157" s="11" t="s">
        <v>132</v>
      </c>
      <c r="D157" s="12">
        <v>35000</v>
      </c>
      <c r="E157" s="56">
        <v>0</v>
      </c>
      <c r="F157" s="56">
        <v>0</v>
      </c>
      <c r="G157" s="145">
        <v>35000</v>
      </c>
      <c r="H157" s="176">
        <f t="shared" si="8"/>
        <v>1</v>
      </c>
    </row>
    <row r="158" spans="1:8" ht="12.75">
      <c r="A158" s="204"/>
      <c r="B158" s="10">
        <v>4270</v>
      </c>
      <c r="C158" s="11" t="s">
        <v>133</v>
      </c>
      <c r="D158" s="12">
        <v>10500</v>
      </c>
      <c r="E158" s="56">
        <v>0</v>
      </c>
      <c r="F158" s="56">
        <v>0</v>
      </c>
      <c r="G158" s="145">
        <v>5000</v>
      </c>
      <c r="H158" s="176">
        <f t="shared" si="8"/>
        <v>0.47619047619047616</v>
      </c>
    </row>
    <row r="159" spans="1:8" ht="12.75">
      <c r="A159" s="204"/>
      <c r="B159" s="10">
        <v>4280</v>
      </c>
      <c r="C159" s="11" t="s">
        <v>104</v>
      </c>
      <c r="D159" s="12">
        <v>8000</v>
      </c>
      <c r="E159" s="56">
        <v>0</v>
      </c>
      <c r="F159" s="56">
        <v>0</v>
      </c>
      <c r="G159" s="145">
        <v>0</v>
      </c>
      <c r="H159" s="176">
        <f t="shared" si="8"/>
        <v>0</v>
      </c>
    </row>
    <row r="160" spans="1:8" ht="12.75">
      <c r="A160" s="204"/>
      <c r="B160" s="10">
        <v>4300</v>
      </c>
      <c r="C160" s="11" t="s">
        <v>82</v>
      </c>
      <c r="D160" s="12">
        <v>26200</v>
      </c>
      <c r="E160" s="56">
        <v>0</v>
      </c>
      <c r="F160" s="56">
        <v>0</v>
      </c>
      <c r="G160" s="145">
        <v>30000</v>
      </c>
      <c r="H160" s="176">
        <f t="shared" si="8"/>
        <v>1.1450381679389312</v>
      </c>
    </row>
    <row r="161" spans="1:8" ht="12.75">
      <c r="A161" s="204"/>
      <c r="B161" s="10">
        <v>4350</v>
      </c>
      <c r="C161" s="11" t="s">
        <v>209</v>
      </c>
      <c r="D161" s="12">
        <v>1491</v>
      </c>
      <c r="E161" s="56">
        <v>0</v>
      </c>
      <c r="F161" s="56">
        <v>0</v>
      </c>
      <c r="G161" s="145">
        <v>2000</v>
      </c>
      <c r="H161" s="176">
        <f t="shared" si="8"/>
        <v>1.341381623071764</v>
      </c>
    </row>
    <row r="162" spans="1:8" ht="12.75">
      <c r="A162" s="204"/>
      <c r="B162" s="10">
        <v>4410</v>
      </c>
      <c r="C162" s="11" t="s">
        <v>70</v>
      </c>
      <c r="D162" s="12">
        <v>800</v>
      </c>
      <c r="E162" s="56">
        <v>0</v>
      </c>
      <c r="F162" s="56">
        <v>0</v>
      </c>
      <c r="G162" s="145">
        <v>1500</v>
      </c>
      <c r="H162" s="176">
        <f t="shared" si="8"/>
        <v>1.875</v>
      </c>
    </row>
    <row r="163" spans="1:8" ht="12.75">
      <c r="A163" s="204"/>
      <c r="B163" s="10">
        <v>4430</v>
      </c>
      <c r="C163" s="11" t="s">
        <v>81</v>
      </c>
      <c r="D163" s="12">
        <v>1800</v>
      </c>
      <c r="E163" s="56">
        <v>0</v>
      </c>
      <c r="F163" s="56">
        <v>0</v>
      </c>
      <c r="G163" s="145">
        <v>1800</v>
      </c>
      <c r="H163" s="176">
        <f t="shared" si="8"/>
        <v>1</v>
      </c>
    </row>
    <row r="164" spans="1:8" ht="12.75">
      <c r="A164" s="204"/>
      <c r="B164" s="10">
        <v>4440</v>
      </c>
      <c r="C164" s="11" t="s">
        <v>72</v>
      </c>
      <c r="D164" s="12">
        <v>489</v>
      </c>
      <c r="E164" s="56">
        <v>0</v>
      </c>
      <c r="F164" s="56">
        <v>0</v>
      </c>
      <c r="G164" s="145">
        <v>500</v>
      </c>
      <c r="H164" s="176">
        <f t="shared" si="8"/>
        <v>1.0224948875255624</v>
      </c>
    </row>
    <row r="165" spans="1:8" ht="12.75">
      <c r="A165" s="204"/>
      <c r="B165" s="10">
        <v>4480</v>
      </c>
      <c r="C165" s="11" t="s">
        <v>136</v>
      </c>
      <c r="D165" s="12">
        <v>5035</v>
      </c>
      <c r="E165" s="56">
        <v>0</v>
      </c>
      <c r="F165" s="56">
        <v>0</v>
      </c>
      <c r="G165" s="145">
        <v>5300</v>
      </c>
      <c r="H165" s="176">
        <f t="shared" si="8"/>
        <v>1.0526315789473684</v>
      </c>
    </row>
    <row r="166" spans="1:8" ht="12.75">
      <c r="A166" s="204"/>
      <c r="B166" s="98" t="s">
        <v>94</v>
      </c>
      <c r="C166" s="61" t="s">
        <v>95</v>
      </c>
      <c r="D166" s="62">
        <v>657</v>
      </c>
      <c r="E166" s="57">
        <v>0</v>
      </c>
      <c r="F166" s="57">
        <v>0</v>
      </c>
      <c r="G166" s="138">
        <v>1000</v>
      </c>
      <c r="H166" s="176">
        <f t="shared" si="8"/>
        <v>1.5220700152207</v>
      </c>
    </row>
    <row r="167" spans="1:8" ht="16.5" customHeight="1" thickBot="1">
      <c r="A167" s="205"/>
      <c r="B167" s="131" t="s">
        <v>87</v>
      </c>
      <c r="C167" s="65" t="s">
        <v>223</v>
      </c>
      <c r="D167" s="106">
        <v>71482</v>
      </c>
      <c r="E167" s="67">
        <v>0</v>
      </c>
      <c r="F167" s="67">
        <v>0</v>
      </c>
      <c r="G167" s="147">
        <v>0</v>
      </c>
      <c r="H167" s="178">
        <f t="shared" si="8"/>
        <v>0</v>
      </c>
    </row>
    <row r="168" spans="1:8" ht="15" thickBot="1" thickTop="1">
      <c r="A168" s="211" t="s">
        <v>33</v>
      </c>
      <c r="B168" s="212"/>
      <c r="C168" s="212"/>
      <c r="D168" s="63">
        <f>SUM(D144:D167)</f>
        <v>1848982</v>
      </c>
      <c r="E168" s="63">
        <f>SUM(E144:E167)</f>
        <v>0</v>
      </c>
      <c r="F168" s="63">
        <f>SUM(F144:F167)</f>
        <v>0</v>
      </c>
      <c r="G168" s="139">
        <f>SUM(G144:G167)</f>
        <v>1808000</v>
      </c>
      <c r="H168" s="174">
        <f>G168/D168</f>
        <v>0.9778353710311944</v>
      </c>
    </row>
    <row r="169" spans="1:8" ht="16.5" thickBot="1" thickTop="1">
      <c r="A169" s="213" t="s">
        <v>61</v>
      </c>
      <c r="B169" s="214"/>
      <c r="C169" s="214"/>
      <c r="D169" s="51">
        <f>D168+D142</f>
        <v>1928982</v>
      </c>
      <c r="E169" s="51">
        <f>E168+E142</f>
        <v>0</v>
      </c>
      <c r="F169" s="51">
        <f>F168+F142</f>
        <v>0</v>
      </c>
      <c r="G169" s="51">
        <f>G168+G142</f>
        <v>1808000</v>
      </c>
      <c r="H169" s="175">
        <f>G169/D169</f>
        <v>0.9372819445697265</v>
      </c>
    </row>
    <row r="170" spans="1:8" ht="19.5" customHeight="1" thickBot="1" thickTop="1">
      <c r="A170" s="235" t="s">
        <v>97</v>
      </c>
      <c r="B170" s="236"/>
      <c r="C170" s="236"/>
      <c r="D170" s="236"/>
      <c r="E170" s="236"/>
      <c r="F170" s="236"/>
      <c r="G170" s="236"/>
      <c r="H170" s="237"/>
    </row>
    <row r="171" spans="1:8" ht="14.25" thickTop="1">
      <c r="A171" s="206">
        <v>75702</v>
      </c>
      <c r="B171" s="230" t="s">
        <v>98</v>
      </c>
      <c r="C171" s="231"/>
      <c r="D171" s="231"/>
      <c r="E171" s="231"/>
      <c r="F171" s="231"/>
      <c r="G171" s="231"/>
      <c r="H171" s="232"/>
    </row>
    <row r="172" spans="1:8" ht="36.75" thickBot="1">
      <c r="A172" s="207"/>
      <c r="B172" s="99">
        <v>8070</v>
      </c>
      <c r="C172" s="35" t="s">
        <v>224</v>
      </c>
      <c r="D172" s="100">
        <v>179522</v>
      </c>
      <c r="E172" s="101">
        <v>0</v>
      </c>
      <c r="F172" s="101">
        <v>0</v>
      </c>
      <c r="G172" s="150">
        <v>242680</v>
      </c>
      <c r="H172" s="192">
        <f>G172/D172</f>
        <v>1.351812034179655</v>
      </c>
    </row>
    <row r="173" spans="1:8" ht="15" thickBot="1" thickTop="1">
      <c r="A173" s="211" t="s">
        <v>99</v>
      </c>
      <c r="B173" s="212"/>
      <c r="C173" s="212"/>
      <c r="D173" s="102">
        <f>SUM(D172)</f>
        <v>179522</v>
      </c>
      <c r="E173" s="93">
        <f>SUM(E172)</f>
        <v>0</v>
      </c>
      <c r="F173" s="93">
        <f>SUM(F172)</f>
        <v>0</v>
      </c>
      <c r="G173" s="146">
        <f>SUM(G172)</f>
        <v>242680</v>
      </c>
      <c r="H173" s="174">
        <f>G173/D173</f>
        <v>1.351812034179655</v>
      </c>
    </row>
    <row r="174" spans="1:8" ht="14.25" thickTop="1">
      <c r="A174" s="206">
        <v>75704</v>
      </c>
      <c r="B174" s="208" t="s">
        <v>100</v>
      </c>
      <c r="C174" s="209"/>
      <c r="D174" s="209"/>
      <c r="E174" s="209"/>
      <c r="F174" s="209"/>
      <c r="G174" s="209"/>
      <c r="H174" s="210"/>
    </row>
    <row r="175" spans="1:8" ht="24.75" thickBot="1">
      <c r="A175" s="207"/>
      <c r="B175" s="103">
        <v>8020</v>
      </c>
      <c r="C175" s="104" t="s">
        <v>225</v>
      </c>
      <c r="D175" s="105">
        <v>100000</v>
      </c>
      <c r="E175" s="101"/>
      <c r="F175" s="101"/>
      <c r="G175" s="151">
        <v>99820</v>
      </c>
      <c r="H175" s="192">
        <f>G175/D175</f>
        <v>0.9982</v>
      </c>
    </row>
    <row r="176" spans="1:8" ht="15" thickBot="1" thickTop="1">
      <c r="A176" s="211" t="s">
        <v>147</v>
      </c>
      <c r="B176" s="212"/>
      <c r="C176" s="212"/>
      <c r="D176" s="102">
        <f>SUM(D175:D175)</f>
        <v>100000</v>
      </c>
      <c r="E176" s="93">
        <f>SUM(E175:E175)</f>
        <v>0</v>
      </c>
      <c r="F176" s="93">
        <f>SUM(F175:F175)</f>
        <v>0</v>
      </c>
      <c r="G176" s="152">
        <f>SUM(G175:G175)</f>
        <v>99820</v>
      </c>
      <c r="H176" s="193">
        <f>G176/D176</f>
        <v>0.9982</v>
      </c>
    </row>
    <row r="177" spans="1:8" ht="16.5" thickBot="1" thickTop="1">
      <c r="A177" s="213" t="s">
        <v>153</v>
      </c>
      <c r="B177" s="214"/>
      <c r="C177" s="214"/>
      <c r="D177" s="51">
        <f>SUM(D173+D176)</f>
        <v>279522</v>
      </c>
      <c r="E177" s="52">
        <f>SUM(E173+E176)</f>
        <v>0</v>
      </c>
      <c r="F177" s="52">
        <f>SUM(F173+F176)</f>
        <v>0</v>
      </c>
      <c r="G177" s="140">
        <f>SUM(G173+G176)</f>
        <v>342500</v>
      </c>
      <c r="H177" s="175">
        <f>G177/D177</f>
        <v>1.2253060581993547</v>
      </c>
    </row>
    <row r="178" spans="1:8" ht="21" thickBot="1" thickTop="1">
      <c r="A178" s="200" t="s">
        <v>263</v>
      </c>
      <c r="B178" s="201"/>
      <c r="C178" s="201"/>
      <c r="D178" s="201"/>
      <c r="E178" s="201"/>
      <c r="F178" s="201"/>
      <c r="G178" s="201"/>
      <c r="H178" s="202"/>
    </row>
    <row r="179" spans="1:8" ht="14.25" thickTop="1">
      <c r="A179" s="206">
        <v>75818</v>
      </c>
      <c r="B179" s="208" t="s">
        <v>266</v>
      </c>
      <c r="C179" s="209"/>
      <c r="D179" s="209"/>
      <c r="E179" s="209"/>
      <c r="F179" s="209"/>
      <c r="G179" s="209"/>
      <c r="H179" s="210"/>
    </row>
    <row r="180" spans="1:8" ht="13.5" thickBot="1">
      <c r="A180" s="207"/>
      <c r="B180" s="103">
        <v>4810</v>
      </c>
      <c r="C180" s="104" t="s">
        <v>264</v>
      </c>
      <c r="D180" s="105">
        <v>0</v>
      </c>
      <c r="E180" s="101"/>
      <c r="F180" s="101"/>
      <c r="G180" s="151">
        <v>300000</v>
      </c>
      <c r="H180" s="192"/>
    </row>
    <row r="181" spans="1:8" ht="15" thickBot="1" thickTop="1">
      <c r="A181" s="211" t="s">
        <v>147</v>
      </c>
      <c r="B181" s="212"/>
      <c r="C181" s="212"/>
      <c r="D181" s="102">
        <f>SUM(D180:D180)</f>
        <v>0</v>
      </c>
      <c r="E181" s="93">
        <f>SUM(E180:E180)</f>
        <v>0</v>
      </c>
      <c r="F181" s="93">
        <f>SUM(F180:F180)</f>
        <v>0</v>
      </c>
      <c r="G181" s="152">
        <f>SUM(G180:G180)</f>
        <v>300000</v>
      </c>
      <c r="H181" s="193"/>
    </row>
    <row r="182" spans="1:8" ht="16.5" thickBot="1" thickTop="1">
      <c r="A182" s="213" t="s">
        <v>265</v>
      </c>
      <c r="B182" s="214"/>
      <c r="C182" s="214"/>
      <c r="D182" s="51">
        <f>D181</f>
        <v>0</v>
      </c>
      <c r="E182" s="51">
        <f>E181</f>
        <v>0</v>
      </c>
      <c r="F182" s="51">
        <f>F181</f>
        <v>0</v>
      </c>
      <c r="G182" s="51">
        <f>G181</f>
        <v>300000</v>
      </c>
      <c r="H182" s="175" t="e">
        <f>G182/D182</f>
        <v>#DIV/0!</v>
      </c>
    </row>
    <row r="183" spans="1:8" ht="21" thickBot="1" thickTop="1">
      <c r="A183" s="227" t="s">
        <v>35</v>
      </c>
      <c r="B183" s="228"/>
      <c r="C183" s="228"/>
      <c r="D183" s="228"/>
      <c r="E183" s="228"/>
      <c r="F183" s="228"/>
      <c r="G183" s="228"/>
      <c r="H183" s="229"/>
    </row>
    <row r="184" spans="1:8" ht="15" customHeight="1" thickTop="1">
      <c r="A184" s="218">
        <v>80102</v>
      </c>
      <c r="B184" s="224" t="s">
        <v>11</v>
      </c>
      <c r="C184" s="225"/>
      <c r="D184" s="225"/>
      <c r="E184" s="225"/>
      <c r="F184" s="225"/>
      <c r="G184" s="225"/>
      <c r="H184" s="226"/>
    </row>
    <row r="185" spans="1:8" ht="24">
      <c r="A185" s="216"/>
      <c r="B185" s="13">
        <v>3020</v>
      </c>
      <c r="C185" s="11" t="s">
        <v>216</v>
      </c>
      <c r="D185" s="12">
        <v>25300</v>
      </c>
      <c r="E185" s="56">
        <v>0</v>
      </c>
      <c r="F185" s="56">
        <v>0</v>
      </c>
      <c r="G185" s="145">
        <v>25300</v>
      </c>
      <c r="H185" s="176">
        <f>G185/D185</f>
        <v>1</v>
      </c>
    </row>
    <row r="186" spans="1:8" ht="24">
      <c r="A186" s="216"/>
      <c r="B186" s="10">
        <v>4010</v>
      </c>
      <c r="C186" s="11" t="s">
        <v>64</v>
      </c>
      <c r="D186" s="12">
        <v>849000</v>
      </c>
      <c r="E186" s="56">
        <v>0</v>
      </c>
      <c r="F186" s="56"/>
      <c r="G186" s="145">
        <v>901500</v>
      </c>
      <c r="H186" s="176">
        <f aca="true" t="shared" si="9" ref="H186:H202">G186/D186</f>
        <v>1.0618374558303887</v>
      </c>
    </row>
    <row r="187" spans="1:8" ht="12.75">
      <c r="A187" s="216"/>
      <c r="B187" s="10">
        <v>4040</v>
      </c>
      <c r="C187" s="11" t="s">
        <v>85</v>
      </c>
      <c r="D187" s="46">
        <v>77635</v>
      </c>
      <c r="E187" s="56">
        <v>0</v>
      </c>
      <c r="F187" s="56">
        <v>0</v>
      </c>
      <c r="G187" s="145">
        <v>71300</v>
      </c>
      <c r="H187" s="176">
        <f t="shared" si="9"/>
        <v>0.9184002060926129</v>
      </c>
    </row>
    <row r="188" spans="1:8" ht="15" customHeight="1">
      <c r="A188" s="216"/>
      <c r="B188" s="10">
        <v>4110</v>
      </c>
      <c r="C188" s="11" t="s">
        <v>84</v>
      </c>
      <c r="D188" s="46">
        <v>152800</v>
      </c>
      <c r="E188" s="56">
        <v>0</v>
      </c>
      <c r="F188" s="56"/>
      <c r="G188" s="145">
        <v>166500</v>
      </c>
      <c r="H188" s="176">
        <f t="shared" si="9"/>
        <v>1.0896596858638743</v>
      </c>
    </row>
    <row r="189" spans="1:8" ht="12.75">
      <c r="A189" s="216"/>
      <c r="B189" s="10">
        <v>4120</v>
      </c>
      <c r="C189" s="11" t="s">
        <v>83</v>
      </c>
      <c r="D189" s="46">
        <v>23400</v>
      </c>
      <c r="E189" s="56">
        <v>0</v>
      </c>
      <c r="F189" s="56">
        <v>0</v>
      </c>
      <c r="G189" s="145">
        <v>24300</v>
      </c>
      <c r="H189" s="176">
        <f t="shared" si="9"/>
        <v>1.0384615384615385</v>
      </c>
    </row>
    <row r="190" spans="1:8" ht="12.75">
      <c r="A190" s="216"/>
      <c r="B190" s="10">
        <v>4170</v>
      </c>
      <c r="C190" s="11" t="s">
        <v>205</v>
      </c>
      <c r="D190" s="46">
        <v>4260</v>
      </c>
      <c r="E190" s="56">
        <v>0</v>
      </c>
      <c r="F190" s="56">
        <v>0</v>
      </c>
      <c r="G190" s="145">
        <v>2000</v>
      </c>
      <c r="H190" s="176">
        <f t="shared" si="9"/>
        <v>0.4694835680751174</v>
      </c>
    </row>
    <row r="191" spans="1:8" ht="12.75">
      <c r="A191" s="216"/>
      <c r="B191" s="10">
        <v>4210</v>
      </c>
      <c r="C191" s="11" t="s">
        <v>67</v>
      </c>
      <c r="D191" s="46">
        <v>25000</v>
      </c>
      <c r="E191" s="56">
        <v>0</v>
      </c>
      <c r="F191" s="56">
        <v>0</v>
      </c>
      <c r="G191" s="145">
        <v>20000</v>
      </c>
      <c r="H191" s="176">
        <f t="shared" si="9"/>
        <v>0.8</v>
      </c>
    </row>
    <row r="192" spans="1:8" ht="12.75">
      <c r="A192" s="216"/>
      <c r="B192" s="10">
        <v>4220</v>
      </c>
      <c r="C192" s="11" t="s">
        <v>255</v>
      </c>
      <c r="D192" s="46">
        <v>300</v>
      </c>
      <c r="E192" s="56"/>
      <c r="F192" s="56"/>
      <c r="G192" s="145">
        <v>0</v>
      </c>
      <c r="H192" s="176">
        <f t="shared" si="9"/>
        <v>0</v>
      </c>
    </row>
    <row r="193" spans="1:8" ht="12.75">
      <c r="A193" s="216"/>
      <c r="B193" s="10">
        <v>4230</v>
      </c>
      <c r="C193" s="11" t="s">
        <v>92</v>
      </c>
      <c r="D193" s="46">
        <v>400</v>
      </c>
      <c r="E193" s="56">
        <v>0</v>
      </c>
      <c r="F193" s="56"/>
      <c r="G193" s="145">
        <v>400</v>
      </c>
      <c r="H193" s="176">
        <f t="shared" si="9"/>
        <v>1</v>
      </c>
    </row>
    <row r="194" spans="1:8" ht="12.75">
      <c r="A194" s="216"/>
      <c r="B194" s="47" t="s">
        <v>101</v>
      </c>
      <c r="C194" s="11" t="s">
        <v>102</v>
      </c>
      <c r="D194" s="46">
        <v>1925</v>
      </c>
      <c r="E194" s="56">
        <v>0</v>
      </c>
      <c r="F194" s="56">
        <v>0</v>
      </c>
      <c r="G194" s="145">
        <v>0</v>
      </c>
      <c r="H194" s="176">
        <f t="shared" si="9"/>
        <v>0</v>
      </c>
    </row>
    <row r="195" spans="1:8" ht="12.75">
      <c r="A195" s="216"/>
      <c r="B195" s="10">
        <v>4260</v>
      </c>
      <c r="C195" s="11" t="s">
        <v>68</v>
      </c>
      <c r="D195" s="46">
        <v>21600</v>
      </c>
      <c r="E195" s="56">
        <v>0</v>
      </c>
      <c r="F195" s="56">
        <v>0</v>
      </c>
      <c r="G195" s="145">
        <v>16000</v>
      </c>
      <c r="H195" s="176">
        <f t="shared" si="9"/>
        <v>0.7407407407407407</v>
      </c>
    </row>
    <row r="196" spans="1:8" ht="12.75">
      <c r="A196" s="216"/>
      <c r="B196" s="10">
        <v>4270</v>
      </c>
      <c r="C196" s="11" t="s">
        <v>133</v>
      </c>
      <c r="D196" s="46">
        <v>5000</v>
      </c>
      <c r="E196" s="56">
        <v>0</v>
      </c>
      <c r="F196" s="56">
        <v>0</v>
      </c>
      <c r="G196" s="145">
        <v>5000</v>
      </c>
      <c r="H196" s="176">
        <f t="shared" si="9"/>
        <v>1</v>
      </c>
    </row>
    <row r="197" spans="1:8" ht="12.75">
      <c r="A197" s="216"/>
      <c r="B197" s="10">
        <v>4280</v>
      </c>
      <c r="C197" s="11" t="s">
        <v>104</v>
      </c>
      <c r="D197" s="46">
        <v>900</v>
      </c>
      <c r="E197" s="56">
        <v>0</v>
      </c>
      <c r="F197" s="56"/>
      <c r="G197" s="145">
        <v>1500</v>
      </c>
      <c r="H197" s="176">
        <f t="shared" si="9"/>
        <v>1.6666666666666667</v>
      </c>
    </row>
    <row r="198" spans="1:8" ht="12.75">
      <c r="A198" s="216"/>
      <c r="B198" s="10">
        <v>4300</v>
      </c>
      <c r="C198" s="11" t="s">
        <v>62</v>
      </c>
      <c r="D198" s="46">
        <v>10915</v>
      </c>
      <c r="E198" s="56">
        <v>0</v>
      </c>
      <c r="F198" s="56">
        <v>0</v>
      </c>
      <c r="G198" s="145">
        <v>61500</v>
      </c>
      <c r="H198" s="176">
        <f t="shared" si="9"/>
        <v>5.634448007329364</v>
      </c>
    </row>
    <row r="199" spans="1:8" ht="12.75">
      <c r="A199" s="216"/>
      <c r="B199" s="10">
        <v>4350</v>
      </c>
      <c r="C199" s="11" t="s">
        <v>206</v>
      </c>
      <c r="D199" s="46">
        <v>500</v>
      </c>
      <c r="E199" s="56">
        <v>0</v>
      </c>
      <c r="F199" s="56">
        <v>0</v>
      </c>
      <c r="G199" s="145">
        <v>500</v>
      </c>
      <c r="H199" s="176">
        <f t="shared" si="9"/>
        <v>1</v>
      </c>
    </row>
    <row r="200" spans="1:8" ht="12.75">
      <c r="A200" s="216"/>
      <c r="B200" s="10">
        <v>4410</v>
      </c>
      <c r="C200" s="11" t="s">
        <v>70</v>
      </c>
      <c r="D200" s="46">
        <v>4000</v>
      </c>
      <c r="E200" s="56">
        <v>0</v>
      </c>
      <c r="F200" s="56">
        <v>0</v>
      </c>
      <c r="G200" s="145">
        <v>4000</v>
      </c>
      <c r="H200" s="176">
        <f t="shared" si="9"/>
        <v>1</v>
      </c>
    </row>
    <row r="201" spans="1:8" ht="12.75">
      <c r="A201" s="216"/>
      <c r="B201" s="10">
        <v>4430</v>
      </c>
      <c r="C201" s="11" t="s">
        <v>71</v>
      </c>
      <c r="D201" s="46">
        <v>3000</v>
      </c>
      <c r="E201" s="56">
        <v>0</v>
      </c>
      <c r="F201" s="56">
        <v>0</v>
      </c>
      <c r="G201" s="145">
        <v>2000</v>
      </c>
      <c r="H201" s="176">
        <f t="shared" si="9"/>
        <v>0.6666666666666666</v>
      </c>
    </row>
    <row r="202" spans="1:8" ht="13.5" thickBot="1">
      <c r="A202" s="219"/>
      <c r="B202" s="60">
        <v>4440</v>
      </c>
      <c r="C202" s="61" t="s">
        <v>72</v>
      </c>
      <c r="D202" s="62">
        <v>51900</v>
      </c>
      <c r="E202" s="57">
        <v>0</v>
      </c>
      <c r="F202" s="57">
        <v>0</v>
      </c>
      <c r="G202" s="138">
        <v>56800</v>
      </c>
      <c r="H202" s="178">
        <f t="shared" si="9"/>
        <v>1.094412331406551</v>
      </c>
    </row>
    <row r="203" spans="1:8" ht="15" thickBot="1" thickTop="1">
      <c r="A203" s="211" t="s">
        <v>125</v>
      </c>
      <c r="B203" s="212"/>
      <c r="C203" s="212"/>
      <c r="D203" s="63">
        <f>SUM(D185:D202)</f>
        <v>1257835</v>
      </c>
      <c r="E203" s="63">
        <f>SUM(E185:E202)</f>
        <v>0</v>
      </c>
      <c r="F203" s="63">
        <f>SUM(F185:F202)</f>
        <v>0</v>
      </c>
      <c r="G203" s="139">
        <f>SUM(G185:G202)</f>
        <v>1358600</v>
      </c>
      <c r="H203" s="174">
        <f>G203/D203</f>
        <v>1.0801098713265254</v>
      </c>
    </row>
    <row r="204" spans="1:8" ht="15" customHeight="1" thickTop="1">
      <c r="A204" s="215">
        <v>80111</v>
      </c>
      <c r="B204" s="224" t="s">
        <v>105</v>
      </c>
      <c r="C204" s="225"/>
      <c r="D204" s="225"/>
      <c r="E204" s="225"/>
      <c r="F204" s="225"/>
      <c r="G204" s="225"/>
      <c r="H204" s="226"/>
    </row>
    <row r="205" spans="1:8" ht="27" customHeight="1">
      <c r="A205" s="216"/>
      <c r="B205" s="13">
        <v>3020</v>
      </c>
      <c r="C205" s="11" t="s">
        <v>216</v>
      </c>
      <c r="D205" s="12">
        <v>1600</v>
      </c>
      <c r="E205" s="56">
        <v>0</v>
      </c>
      <c r="F205" s="56">
        <v>0</v>
      </c>
      <c r="G205" s="145">
        <v>1600</v>
      </c>
      <c r="H205" s="176">
        <f>G205/D205</f>
        <v>1</v>
      </c>
    </row>
    <row r="206" spans="1:8" ht="24">
      <c r="A206" s="216"/>
      <c r="B206" s="13">
        <v>3030</v>
      </c>
      <c r="C206" s="14" t="s">
        <v>77</v>
      </c>
      <c r="D206" s="12">
        <v>2710</v>
      </c>
      <c r="E206" s="56">
        <v>0</v>
      </c>
      <c r="F206" s="56">
        <v>0</v>
      </c>
      <c r="G206" s="145">
        <v>0</v>
      </c>
      <c r="H206" s="176">
        <f aca="true" t="shared" si="10" ref="H206:H217">G206/D206</f>
        <v>0</v>
      </c>
    </row>
    <row r="207" spans="1:8" ht="24">
      <c r="A207" s="216"/>
      <c r="B207" s="10">
        <v>4010</v>
      </c>
      <c r="C207" s="11" t="s">
        <v>64</v>
      </c>
      <c r="D207" s="12">
        <v>528230</v>
      </c>
      <c r="E207" s="56">
        <v>0</v>
      </c>
      <c r="F207" s="56">
        <v>0</v>
      </c>
      <c r="G207" s="145">
        <v>543100</v>
      </c>
      <c r="H207" s="176">
        <f t="shared" si="10"/>
        <v>1.0281506162088485</v>
      </c>
    </row>
    <row r="208" spans="1:8" ht="12.75">
      <c r="A208" s="216"/>
      <c r="B208" s="10">
        <v>4040</v>
      </c>
      <c r="C208" s="11" t="s">
        <v>85</v>
      </c>
      <c r="D208" s="12">
        <v>28950</v>
      </c>
      <c r="E208" s="56">
        <v>0</v>
      </c>
      <c r="F208" s="56">
        <v>0</v>
      </c>
      <c r="G208" s="145">
        <v>47000</v>
      </c>
      <c r="H208" s="176">
        <f t="shared" si="10"/>
        <v>1.6234887737478412</v>
      </c>
    </row>
    <row r="209" spans="1:8" ht="15" customHeight="1">
      <c r="A209" s="216"/>
      <c r="B209" s="10">
        <v>4110</v>
      </c>
      <c r="C209" s="11" t="s">
        <v>84</v>
      </c>
      <c r="D209" s="12">
        <v>96600</v>
      </c>
      <c r="E209" s="56">
        <v>0</v>
      </c>
      <c r="F209" s="56">
        <v>0</v>
      </c>
      <c r="G209" s="145">
        <v>101000</v>
      </c>
      <c r="H209" s="176">
        <f t="shared" si="10"/>
        <v>1.0455486542443064</v>
      </c>
    </row>
    <row r="210" spans="1:8" ht="12.75">
      <c r="A210" s="216"/>
      <c r="B210" s="10">
        <v>4120</v>
      </c>
      <c r="C210" s="11" t="s">
        <v>83</v>
      </c>
      <c r="D210" s="12">
        <v>14900</v>
      </c>
      <c r="E210" s="56">
        <v>0</v>
      </c>
      <c r="F210" s="56">
        <v>0</v>
      </c>
      <c r="G210" s="145">
        <v>15200</v>
      </c>
      <c r="H210" s="176">
        <f t="shared" si="10"/>
        <v>1.0201342281879195</v>
      </c>
    </row>
    <row r="211" spans="1:8" ht="12.75">
      <c r="A211" s="216"/>
      <c r="B211" s="10">
        <v>4210</v>
      </c>
      <c r="C211" s="11" t="s">
        <v>67</v>
      </c>
      <c r="D211" s="12">
        <v>31030</v>
      </c>
      <c r="E211" s="56">
        <v>0</v>
      </c>
      <c r="F211" s="56">
        <v>0</v>
      </c>
      <c r="G211" s="145">
        <v>18100</v>
      </c>
      <c r="H211" s="176">
        <f t="shared" si="10"/>
        <v>0.5833064776023204</v>
      </c>
    </row>
    <row r="212" spans="1:8" ht="12.75">
      <c r="A212" s="216"/>
      <c r="B212" s="10">
        <v>4240</v>
      </c>
      <c r="C212" s="11" t="s">
        <v>207</v>
      </c>
      <c r="D212" s="12">
        <v>600</v>
      </c>
      <c r="E212" s="56">
        <v>0</v>
      </c>
      <c r="F212" s="56">
        <v>0</v>
      </c>
      <c r="G212" s="145">
        <v>0</v>
      </c>
      <c r="H212" s="176">
        <f t="shared" si="10"/>
        <v>0</v>
      </c>
    </row>
    <row r="213" spans="1:8" ht="12.75">
      <c r="A213" s="216"/>
      <c r="B213" s="10">
        <v>4260</v>
      </c>
      <c r="C213" s="11" t="s">
        <v>68</v>
      </c>
      <c r="D213" s="12">
        <v>10000</v>
      </c>
      <c r="E213" s="56">
        <v>0</v>
      </c>
      <c r="F213" s="56">
        <v>0</v>
      </c>
      <c r="G213" s="145">
        <v>10100</v>
      </c>
      <c r="H213" s="176">
        <f t="shared" si="10"/>
        <v>1.01</v>
      </c>
    </row>
    <row r="214" spans="1:8" ht="12.75">
      <c r="A214" s="216"/>
      <c r="B214" s="10">
        <v>4280</v>
      </c>
      <c r="C214" s="11" t="s">
        <v>208</v>
      </c>
      <c r="D214" s="12">
        <v>200</v>
      </c>
      <c r="E214" s="56">
        <v>0</v>
      </c>
      <c r="F214" s="56">
        <v>0</v>
      </c>
      <c r="G214" s="145">
        <v>200</v>
      </c>
      <c r="H214" s="176">
        <f t="shared" si="10"/>
        <v>1</v>
      </c>
    </row>
    <row r="215" spans="1:8" ht="12.75">
      <c r="A215" s="216"/>
      <c r="B215" s="10">
        <v>4300</v>
      </c>
      <c r="C215" s="11" t="s">
        <v>62</v>
      </c>
      <c r="D215" s="12">
        <v>8000</v>
      </c>
      <c r="E215" s="56">
        <v>0</v>
      </c>
      <c r="F215" s="56">
        <v>0</v>
      </c>
      <c r="G215" s="145">
        <v>8100</v>
      </c>
      <c r="H215" s="176">
        <f t="shared" si="10"/>
        <v>1.0125</v>
      </c>
    </row>
    <row r="216" spans="1:8" ht="12.75">
      <c r="A216" s="216"/>
      <c r="B216" s="10">
        <v>4410</v>
      </c>
      <c r="C216" s="11" t="s">
        <v>70</v>
      </c>
      <c r="D216" s="12">
        <v>1000</v>
      </c>
      <c r="E216" s="56">
        <v>0</v>
      </c>
      <c r="F216" s="56">
        <v>0</v>
      </c>
      <c r="G216" s="145">
        <v>1000</v>
      </c>
      <c r="H216" s="176">
        <f t="shared" si="10"/>
        <v>1</v>
      </c>
    </row>
    <row r="217" spans="1:8" ht="13.5" thickBot="1">
      <c r="A217" s="217"/>
      <c r="B217" s="64">
        <v>4440</v>
      </c>
      <c r="C217" s="65" t="s">
        <v>72</v>
      </c>
      <c r="D217" s="106">
        <v>34700</v>
      </c>
      <c r="E217" s="67">
        <v>0</v>
      </c>
      <c r="F217" s="67">
        <v>0</v>
      </c>
      <c r="G217" s="147">
        <v>31900</v>
      </c>
      <c r="H217" s="178">
        <f t="shared" si="10"/>
        <v>0.9193083573487032</v>
      </c>
    </row>
    <row r="218" spans="1:8" ht="15" thickBot="1" thickTop="1">
      <c r="A218" s="211" t="s">
        <v>106</v>
      </c>
      <c r="B218" s="212"/>
      <c r="C218" s="212"/>
      <c r="D218" s="63">
        <f>SUM(D205:D217)</f>
        <v>758520</v>
      </c>
      <c r="E218" s="63">
        <f>SUM(E205:E217)</f>
        <v>0</v>
      </c>
      <c r="F218" s="63">
        <f>SUM(F205:F217)</f>
        <v>0</v>
      </c>
      <c r="G218" s="139">
        <f>SUM(G205:G217)</f>
        <v>777300</v>
      </c>
      <c r="H218" s="174">
        <f>G218/D218</f>
        <v>1.0247587407055845</v>
      </c>
    </row>
    <row r="219" spans="1:8" ht="15" customHeight="1" thickTop="1">
      <c r="A219" s="203">
        <v>80120</v>
      </c>
      <c r="B219" s="224" t="s">
        <v>12</v>
      </c>
      <c r="C219" s="225"/>
      <c r="D219" s="225"/>
      <c r="E219" s="225"/>
      <c r="F219" s="225"/>
      <c r="G219" s="225"/>
      <c r="H219" s="226"/>
    </row>
    <row r="220" spans="1:8" ht="24">
      <c r="A220" s="204"/>
      <c r="B220" s="13">
        <v>3020</v>
      </c>
      <c r="C220" s="11" t="s">
        <v>216</v>
      </c>
      <c r="D220" s="12">
        <v>3800</v>
      </c>
      <c r="E220" s="56">
        <v>0</v>
      </c>
      <c r="F220" s="56">
        <v>0</v>
      </c>
      <c r="G220" s="145">
        <v>3830</v>
      </c>
      <c r="H220" s="176">
        <f>G220/D220</f>
        <v>1.0078947368421052</v>
      </c>
    </row>
    <row r="221" spans="1:8" ht="24">
      <c r="A221" s="204"/>
      <c r="B221" s="10">
        <v>4010</v>
      </c>
      <c r="C221" s="11" t="s">
        <v>64</v>
      </c>
      <c r="D221" s="12">
        <v>1559100</v>
      </c>
      <c r="E221" s="56">
        <v>0</v>
      </c>
      <c r="F221" s="56">
        <v>0</v>
      </c>
      <c r="G221" s="145">
        <v>1611133</v>
      </c>
      <c r="H221" s="176">
        <f>G221/D221</f>
        <v>1.0333737412609838</v>
      </c>
    </row>
    <row r="222" spans="1:8" ht="12.75">
      <c r="A222" s="204"/>
      <c r="B222" s="10">
        <v>4040</v>
      </c>
      <c r="C222" s="11" t="s">
        <v>85</v>
      </c>
      <c r="D222" s="12">
        <v>121514</v>
      </c>
      <c r="E222" s="56">
        <v>0</v>
      </c>
      <c r="F222" s="56">
        <v>0</v>
      </c>
      <c r="G222" s="145">
        <v>131500</v>
      </c>
      <c r="H222" s="176">
        <f aca="true" t="shared" si="11" ref="H222:H235">G222/D222</f>
        <v>1.0821798311305693</v>
      </c>
    </row>
    <row r="223" spans="1:8" ht="15.75" customHeight="1">
      <c r="A223" s="204"/>
      <c r="B223" s="10">
        <v>4110</v>
      </c>
      <c r="C223" s="11" t="s">
        <v>84</v>
      </c>
      <c r="D223" s="12">
        <v>275245</v>
      </c>
      <c r="E223" s="56">
        <v>0</v>
      </c>
      <c r="F223" s="56">
        <v>0</v>
      </c>
      <c r="G223" s="145">
        <v>297117</v>
      </c>
      <c r="H223" s="176">
        <f t="shared" si="11"/>
        <v>1.0794637504768478</v>
      </c>
    </row>
    <row r="224" spans="1:8" ht="12.75">
      <c r="A224" s="204"/>
      <c r="B224" s="10">
        <v>4120</v>
      </c>
      <c r="C224" s="11" t="s">
        <v>83</v>
      </c>
      <c r="D224" s="12">
        <v>38900</v>
      </c>
      <c r="E224" s="56">
        <v>0</v>
      </c>
      <c r="F224" s="56">
        <v>0</v>
      </c>
      <c r="G224" s="145">
        <v>41836</v>
      </c>
      <c r="H224" s="176">
        <f t="shared" si="11"/>
        <v>1.0754755784061696</v>
      </c>
    </row>
    <row r="225" spans="1:8" ht="12.75">
      <c r="A225" s="204"/>
      <c r="B225" s="10">
        <v>4170</v>
      </c>
      <c r="C225" s="11" t="s">
        <v>205</v>
      </c>
      <c r="D225" s="12">
        <v>1200</v>
      </c>
      <c r="E225" s="56">
        <v>0</v>
      </c>
      <c r="F225" s="56">
        <v>0</v>
      </c>
      <c r="G225" s="145">
        <v>1200</v>
      </c>
      <c r="H225" s="176">
        <f t="shared" si="11"/>
        <v>1</v>
      </c>
    </row>
    <row r="226" spans="1:8" ht="12.75">
      <c r="A226" s="204"/>
      <c r="B226" s="10">
        <v>4210</v>
      </c>
      <c r="C226" s="11" t="s">
        <v>67</v>
      </c>
      <c r="D226" s="12">
        <v>78205</v>
      </c>
      <c r="E226" s="56">
        <v>0</v>
      </c>
      <c r="F226" s="56">
        <v>0</v>
      </c>
      <c r="G226" s="145">
        <v>69610</v>
      </c>
      <c r="H226" s="176">
        <f t="shared" si="11"/>
        <v>0.8900965411418708</v>
      </c>
    </row>
    <row r="227" spans="1:8" ht="12.75">
      <c r="A227" s="204"/>
      <c r="B227" s="47" t="s">
        <v>101</v>
      </c>
      <c r="C227" s="11" t="s">
        <v>102</v>
      </c>
      <c r="D227" s="12">
        <v>4600</v>
      </c>
      <c r="E227" s="56">
        <v>0</v>
      </c>
      <c r="F227" s="56">
        <v>0</v>
      </c>
      <c r="G227" s="145">
        <v>4640</v>
      </c>
      <c r="H227" s="176">
        <f t="shared" si="11"/>
        <v>1.008695652173913</v>
      </c>
    </row>
    <row r="228" spans="1:8" ht="12.75">
      <c r="A228" s="204"/>
      <c r="B228" s="10">
        <v>4260</v>
      </c>
      <c r="C228" s="11" t="s">
        <v>68</v>
      </c>
      <c r="D228" s="12">
        <v>110706</v>
      </c>
      <c r="E228" s="56">
        <v>0</v>
      </c>
      <c r="F228" s="56">
        <v>0</v>
      </c>
      <c r="G228" s="145">
        <v>112300</v>
      </c>
      <c r="H228" s="176">
        <f t="shared" si="11"/>
        <v>1.0143984969197695</v>
      </c>
    </row>
    <row r="229" spans="1:8" ht="12.75">
      <c r="A229" s="204"/>
      <c r="B229" s="10">
        <v>4270</v>
      </c>
      <c r="C229" s="11" t="s">
        <v>133</v>
      </c>
      <c r="D229" s="12">
        <v>12100</v>
      </c>
      <c r="E229" s="56">
        <v>0</v>
      </c>
      <c r="F229" s="56">
        <v>0</v>
      </c>
      <c r="G229" s="145">
        <v>6360</v>
      </c>
      <c r="H229" s="176">
        <f t="shared" si="11"/>
        <v>0.5256198347107438</v>
      </c>
    </row>
    <row r="230" spans="1:8" ht="12.75">
      <c r="A230" s="204"/>
      <c r="B230" s="47" t="s">
        <v>103</v>
      </c>
      <c r="C230" s="11" t="s">
        <v>104</v>
      </c>
      <c r="D230" s="12">
        <v>1400</v>
      </c>
      <c r="E230" s="56">
        <v>0</v>
      </c>
      <c r="F230" s="56">
        <v>0</v>
      </c>
      <c r="G230" s="145">
        <v>1610</v>
      </c>
      <c r="H230" s="176">
        <f t="shared" si="11"/>
        <v>1.15</v>
      </c>
    </row>
    <row r="231" spans="1:8" ht="12.75">
      <c r="A231" s="204"/>
      <c r="B231" s="10">
        <v>4300</v>
      </c>
      <c r="C231" s="11" t="s">
        <v>62</v>
      </c>
      <c r="D231" s="12">
        <v>23454</v>
      </c>
      <c r="E231" s="56">
        <v>0</v>
      </c>
      <c r="F231" s="56">
        <v>0</v>
      </c>
      <c r="G231" s="145">
        <v>27700</v>
      </c>
      <c r="H231" s="176">
        <f t="shared" si="11"/>
        <v>1.181035217873284</v>
      </c>
    </row>
    <row r="232" spans="1:8" ht="12.75">
      <c r="A232" s="204"/>
      <c r="B232" s="10">
        <v>4350</v>
      </c>
      <c r="C232" s="11" t="s">
        <v>209</v>
      </c>
      <c r="D232" s="12">
        <v>2400</v>
      </c>
      <c r="E232" s="56">
        <v>0</v>
      </c>
      <c r="F232" s="56">
        <v>0</v>
      </c>
      <c r="G232" s="145">
        <v>2730</v>
      </c>
      <c r="H232" s="176">
        <f t="shared" si="11"/>
        <v>1.1375</v>
      </c>
    </row>
    <row r="233" spans="1:8" ht="12.75">
      <c r="A233" s="204"/>
      <c r="B233" s="10">
        <v>4410</v>
      </c>
      <c r="C233" s="11" t="s">
        <v>70</v>
      </c>
      <c r="D233" s="12">
        <v>3100</v>
      </c>
      <c r="E233" s="56">
        <v>0</v>
      </c>
      <c r="F233" s="56">
        <v>0</v>
      </c>
      <c r="G233" s="145">
        <v>3130</v>
      </c>
      <c r="H233" s="176">
        <f t="shared" si="11"/>
        <v>1.0096774193548388</v>
      </c>
    </row>
    <row r="234" spans="1:8" ht="12.75">
      <c r="A234" s="204"/>
      <c r="B234" s="10">
        <v>4430</v>
      </c>
      <c r="C234" s="11" t="s">
        <v>81</v>
      </c>
      <c r="D234" s="12">
        <v>3601</v>
      </c>
      <c r="E234" s="56">
        <v>0</v>
      </c>
      <c r="F234" s="56">
        <v>0</v>
      </c>
      <c r="G234" s="145">
        <v>3825</v>
      </c>
      <c r="H234" s="176">
        <f t="shared" si="11"/>
        <v>1.0622049430713691</v>
      </c>
    </row>
    <row r="235" spans="1:8" ht="13.5" thickBot="1">
      <c r="A235" s="204"/>
      <c r="B235" s="60">
        <v>4440</v>
      </c>
      <c r="C235" s="61" t="s">
        <v>72</v>
      </c>
      <c r="D235" s="62">
        <v>104300</v>
      </c>
      <c r="E235" s="57">
        <v>0</v>
      </c>
      <c r="F235" s="57">
        <v>0</v>
      </c>
      <c r="G235" s="138">
        <v>107469</v>
      </c>
      <c r="H235" s="176">
        <f t="shared" si="11"/>
        <v>1.0303835091083413</v>
      </c>
    </row>
    <row r="236" spans="1:8" ht="15" thickBot="1" thickTop="1">
      <c r="A236" s="211" t="s">
        <v>36</v>
      </c>
      <c r="B236" s="212"/>
      <c r="C236" s="212"/>
      <c r="D236" s="63">
        <f>SUM(D220:D235)</f>
        <v>2343625</v>
      </c>
      <c r="E236" s="63">
        <f>SUM(E220:E235)</f>
        <v>0</v>
      </c>
      <c r="F236" s="63">
        <f>SUM(F220:F235)</f>
        <v>0</v>
      </c>
      <c r="G236" s="139">
        <f>SUM(G220:G235)</f>
        <v>2425990</v>
      </c>
      <c r="H236" s="174">
        <f>G236/D236</f>
        <v>1.0351442743612993</v>
      </c>
    </row>
    <row r="237" spans="1:8" ht="14.25" thickTop="1">
      <c r="A237" s="203">
        <v>80130</v>
      </c>
      <c r="B237" s="239" t="s">
        <v>55</v>
      </c>
      <c r="C237" s="240"/>
      <c r="D237" s="240"/>
      <c r="E237" s="240"/>
      <c r="F237" s="240"/>
      <c r="G237" s="240"/>
      <c r="H237" s="241"/>
    </row>
    <row r="238" spans="1:8" ht="48">
      <c r="A238" s="204"/>
      <c r="B238" s="13">
        <v>2320</v>
      </c>
      <c r="C238" s="14" t="s">
        <v>226</v>
      </c>
      <c r="D238" s="12">
        <v>40710</v>
      </c>
      <c r="E238" s="56">
        <v>0</v>
      </c>
      <c r="F238" s="56">
        <v>0</v>
      </c>
      <c r="G238" s="145">
        <v>53600</v>
      </c>
      <c r="H238" s="176">
        <f>G238/D238</f>
        <v>1.3166298206828788</v>
      </c>
    </row>
    <row r="239" spans="1:8" ht="24">
      <c r="A239" s="204"/>
      <c r="B239" s="13">
        <v>3020</v>
      </c>
      <c r="C239" s="11" t="s">
        <v>216</v>
      </c>
      <c r="D239" s="12">
        <v>77400</v>
      </c>
      <c r="E239" s="56">
        <v>0</v>
      </c>
      <c r="F239" s="56">
        <v>0</v>
      </c>
      <c r="G239" s="145">
        <v>92100</v>
      </c>
      <c r="H239" s="176">
        <f aca="true" t="shared" si="12" ref="H239:H263">G239/D239</f>
        <v>1.189922480620155</v>
      </c>
    </row>
    <row r="240" spans="1:8" ht="24">
      <c r="A240" s="204"/>
      <c r="B240" s="10">
        <v>4010</v>
      </c>
      <c r="C240" s="11" t="s">
        <v>64</v>
      </c>
      <c r="D240" s="12">
        <v>3409954</v>
      </c>
      <c r="E240" s="56">
        <v>0</v>
      </c>
      <c r="F240" s="56">
        <v>0</v>
      </c>
      <c r="G240" s="145">
        <v>3627600</v>
      </c>
      <c r="H240" s="176">
        <f t="shared" si="12"/>
        <v>1.063826667456511</v>
      </c>
    </row>
    <row r="241" spans="1:8" ht="12.75" customHeight="1">
      <c r="A241" s="204"/>
      <c r="B241" s="10">
        <v>4040</v>
      </c>
      <c r="C241" s="11" t="s">
        <v>85</v>
      </c>
      <c r="D241" s="12">
        <v>255190</v>
      </c>
      <c r="E241" s="56">
        <v>0</v>
      </c>
      <c r="F241" s="56">
        <v>0</v>
      </c>
      <c r="G241" s="145">
        <v>289400</v>
      </c>
      <c r="H241" s="176">
        <f t="shared" si="12"/>
        <v>1.1340569771542772</v>
      </c>
    </row>
    <row r="242" spans="1:8" ht="15" customHeight="1">
      <c r="A242" s="204"/>
      <c r="B242" s="10">
        <v>4110</v>
      </c>
      <c r="C242" s="11" t="s">
        <v>84</v>
      </c>
      <c r="D242" s="12">
        <v>565330</v>
      </c>
      <c r="E242" s="56">
        <v>0</v>
      </c>
      <c r="F242" s="56">
        <v>0</v>
      </c>
      <c r="G242" s="145">
        <v>678900</v>
      </c>
      <c r="H242" s="176">
        <f t="shared" si="12"/>
        <v>1.2008915146905348</v>
      </c>
    </row>
    <row r="243" spans="1:8" ht="12.75" customHeight="1">
      <c r="A243" s="204"/>
      <c r="B243" s="10">
        <v>4120</v>
      </c>
      <c r="C243" s="11" t="s">
        <v>83</v>
      </c>
      <c r="D243" s="12">
        <v>85800</v>
      </c>
      <c r="E243" s="56">
        <v>0</v>
      </c>
      <c r="F243" s="56">
        <v>0</v>
      </c>
      <c r="G243" s="145">
        <v>94900</v>
      </c>
      <c r="H243" s="176">
        <f t="shared" si="12"/>
        <v>1.106060606060606</v>
      </c>
    </row>
    <row r="244" spans="1:8" ht="12.75" customHeight="1">
      <c r="A244" s="204"/>
      <c r="B244" s="10">
        <v>4140</v>
      </c>
      <c r="C244" s="11" t="s">
        <v>86</v>
      </c>
      <c r="D244" s="12">
        <v>0</v>
      </c>
      <c r="E244" s="56">
        <v>0</v>
      </c>
      <c r="F244" s="56">
        <v>0</v>
      </c>
      <c r="G244" s="145">
        <v>21400</v>
      </c>
      <c r="H244" s="176"/>
    </row>
    <row r="245" spans="1:8" ht="12.75" customHeight="1">
      <c r="A245" s="204"/>
      <c r="B245" s="10">
        <v>4170</v>
      </c>
      <c r="C245" s="11" t="s">
        <v>210</v>
      </c>
      <c r="D245" s="12">
        <v>6200</v>
      </c>
      <c r="E245" s="56">
        <v>0</v>
      </c>
      <c r="F245" s="56">
        <v>0</v>
      </c>
      <c r="G245" s="145">
        <v>9000</v>
      </c>
      <c r="H245" s="176">
        <f t="shared" si="12"/>
        <v>1.4516129032258065</v>
      </c>
    </row>
    <row r="246" spans="1:8" ht="12.75" customHeight="1">
      <c r="A246" s="204"/>
      <c r="B246" s="10">
        <v>4210</v>
      </c>
      <c r="C246" s="11" t="s">
        <v>67</v>
      </c>
      <c r="D246" s="12">
        <v>305783</v>
      </c>
      <c r="E246" s="56">
        <v>0</v>
      </c>
      <c r="F246" s="56">
        <v>0</v>
      </c>
      <c r="G246" s="145">
        <v>339500</v>
      </c>
      <c r="H246" s="176">
        <f t="shared" si="12"/>
        <v>1.1102644685937413</v>
      </c>
    </row>
    <row r="247" spans="1:8" ht="12.75" customHeight="1">
      <c r="A247" s="204"/>
      <c r="B247" s="10">
        <v>4218</v>
      </c>
      <c r="C247" s="11" t="s">
        <v>67</v>
      </c>
      <c r="D247" s="12">
        <v>433</v>
      </c>
      <c r="E247" s="56">
        <v>0</v>
      </c>
      <c r="F247" s="56">
        <v>0</v>
      </c>
      <c r="G247" s="145">
        <v>0</v>
      </c>
      <c r="H247" s="176">
        <f t="shared" si="12"/>
        <v>0</v>
      </c>
    </row>
    <row r="248" spans="1:8" ht="12.75" customHeight="1">
      <c r="A248" s="204"/>
      <c r="B248" s="10">
        <v>4230</v>
      </c>
      <c r="C248" s="11" t="s">
        <v>92</v>
      </c>
      <c r="D248" s="12">
        <v>500</v>
      </c>
      <c r="E248" s="56">
        <v>0</v>
      </c>
      <c r="F248" s="56">
        <v>0</v>
      </c>
      <c r="G248" s="145">
        <v>300</v>
      </c>
      <c r="H248" s="176">
        <f t="shared" si="12"/>
        <v>0.6</v>
      </c>
    </row>
    <row r="249" spans="1:8" ht="12.75" customHeight="1">
      <c r="A249" s="204"/>
      <c r="B249" s="47" t="s">
        <v>101</v>
      </c>
      <c r="C249" s="11" t="s">
        <v>102</v>
      </c>
      <c r="D249" s="12">
        <v>25900</v>
      </c>
      <c r="E249" s="56">
        <v>0</v>
      </c>
      <c r="F249" s="56">
        <v>0</v>
      </c>
      <c r="G249" s="145">
        <v>23300</v>
      </c>
      <c r="H249" s="176">
        <f t="shared" si="12"/>
        <v>0.8996138996138996</v>
      </c>
    </row>
    <row r="250" spans="1:8" ht="12.75" customHeight="1">
      <c r="A250" s="204"/>
      <c r="B250" s="10">
        <v>4260</v>
      </c>
      <c r="C250" s="11" t="s">
        <v>68</v>
      </c>
      <c r="D250" s="12">
        <v>153600</v>
      </c>
      <c r="E250" s="56">
        <v>0</v>
      </c>
      <c r="F250" s="56">
        <v>0</v>
      </c>
      <c r="G250" s="145">
        <v>128900</v>
      </c>
      <c r="H250" s="176">
        <f t="shared" si="12"/>
        <v>0.8391927083333334</v>
      </c>
    </row>
    <row r="251" spans="1:8" ht="12.75" customHeight="1">
      <c r="A251" s="204"/>
      <c r="B251" s="10">
        <v>4270</v>
      </c>
      <c r="C251" s="11" t="s">
        <v>69</v>
      </c>
      <c r="D251" s="12">
        <v>26000</v>
      </c>
      <c r="E251" s="56">
        <v>0</v>
      </c>
      <c r="F251" s="56">
        <v>0</v>
      </c>
      <c r="G251" s="145">
        <v>57000</v>
      </c>
      <c r="H251" s="176">
        <f t="shared" si="12"/>
        <v>2.1923076923076925</v>
      </c>
    </row>
    <row r="252" spans="1:8" ht="12.75" customHeight="1">
      <c r="A252" s="204"/>
      <c r="B252" s="47" t="s">
        <v>103</v>
      </c>
      <c r="C252" s="11" t="s">
        <v>104</v>
      </c>
      <c r="D252" s="12">
        <v>1639</v>
      </c>
      <c r="E252" s="56">
        <v>0</v>
      </c>
      <c r="F252" s="56">
        <v>0</v>
      </c>
      <c r="G252" s="145">
        <v>2300</v>
      </c>
      <c r="H252" s="176">
        <f t="shared" si="12"/>
        <v>1.403294691885296</v>
      </c>
    </row>
    <row r="253" spans="1:8" ht="12.75" customHeight="1">
      <c r="A253" s="204"/>
      <c r="B253" s="10">
        <v>4300</v>
      </c>
      <c r="C253" s="11" t="s">
        <v>62</v>
      </c>
      <c r="D253" s="12">
        <v>104806</v>
      </c>
      <c r="E253" s="56">
        <v>0</v>
      </c>
      <c r="F253" s="56">
        <v>0</v>
      </c>
      <c r="G253" s="145">
        <v>98500</v>
      </c>
      <c r="H253" s="176">
        <f t="shared" si="12"/>
        <v>0.9398316890254375</v>
      </c>
    </row>
    <row r="254" spans="1:8" ht="12.75" customHeight="1">
      <c r="A254" s="204"/>
      <c r="B254" s="10">
        <v>4308</v>
      </c>
      <c r="C254" s="11" t="s">
        <v>82</v>
      </c>
      <c r="D254" s="12">
        <v>26818</v>
      </c>
      <c r="E254" s="56">
        <v>0</v>
      </c>
      <c r="F254" s="56">
        <v>0</v>
      </c>
      <c r="G254" s="145">
        <v>0</v>
      </c>
      <c r="H254" s="176">
        <f t="shared" si="12"/>
        <v>0</v>
      </c>
    </row>
    <row r="255" spans="1:8" ht="12.75" customHeight="1">
      <c r="A255" s="204"/>
      <c r="B255" s="10">
        <v>4350</v>
      </c>
      <c r="C255" s="11" t="s">
        <v>209</v>
      </c>
      <c r="D255" s="12">
        <v>4300</v>
      </c>
      <c r="E255" s="56">
        <v>0</v>
      </c>
      <c r="F255" s="56">
        <v>0</v>
      </c>
      <c r="G255" s="145">
        <v>7600</v>
      </c>
      <c r="H255" s="176">
        <f t="shared" si="12"/>
        <v>1.7674418604651163</v>
      </c>
    </row>
    <row r="256" spans="1:8" ht="12.75" customHeight="1">
      <c r="A256" s="204"/>
      <c r="B256" s="10">
        <v>4410</v>
      </c>
      <c r="C256" s="11" t="s">
        <v>70</v>
      </c>
      <c r="D256" s="12">
        <v>11500</v>
      </c>
      <c r="E256" s="56">
        <v>0</v>
      </c>
      <c r="F256" s="56">
        <v>0</v>
      </c>
      <c r="G256" s="145">
        <v>8800</v>
      </c>
      <c r="H256" s="176">
        <f t="shared" si="12"/>
        <v>0.7652173913043478</v>
      </c>
    </row>
    <row r="257" spans="1:8" ht="12.75" customHeight="1">
      <c r="A257" s="204"/>
      <c r="B257" s="10">
        <v>4418</v>
      </c>
      <c r="C257" s="11" t="s">
        <v>126</v>
      </c>
      <c r="D257" s="12">
        <v>53</v>
      </c>
      <c r="E257" s="56">
        <v>0</v>
      </c>
      <c r="F257" s="56">
        <v>0</v>
      </c>
      <c r="G257" s="145">
        <v>0</v>
      </c>
      <c r="H257" s="176">
        <f t="shared" si="12"/>
        <v>0</v>
      </c>
    </row>
    <row r="258" spans="1:8" ht="12.75" customHeight="1">
      <c r="A258" s="204"/>
      <c r="B258" s="10">
        <v>4428</v>
      </c>
      <c r="C258" s="11" t="s">
        <v>234</v>
      </c>
      <c r="D258" s="12">
        <v>9828</v>
      </c>
      <c r="E258" s="56">
        <v>0</v>
      </c>
      <c r="F258" s="56">
        <v>0</v>
      </c>
      <c r="G258" s="145">
        <v>0</v>
      </c>
      <c r="H258" s="176">
        <f t="shared" si="12"/>
        <v>0</v>
      </c>
    </row>
    <row r="259" spans="1:8" ht="12.75" customHeight="1">
      <c r="A259" s="204"/>
      <c r="B259" s="10">
        <v>4430</v>
      </c>
      <c r="C259" s="11" t="s">
        <v>81</v>
      </c>
      <c r="D259" s="12">
        <v>20994</v>
      </c>
      <c r="E259" s="56">
        <v>0</v>
      </c>
      <c r="F259" s="56">
        <v>0</v>
      </c>
      <c r="G259" s="145">
        <v>25300</v>
      </c>
      <c r="H259" s="176">
        <f t="shared" si="12"/>
        <v>1.2051062208249976</v>
      </c>
    </row>
    <row r="260" spans="1:8" ht="12.75" customHeight="1">
      <c r="A260" s="204"/>
      <c r="B260" s="10">
        <v>4440</v>
      </c>
      <c r="C260" s="11" t="s">
        <v>72</v>
      </c>
      <c r="D260" s="12">
        <v>223870</v>
      </c>
      <c r="E260" s="56">
        <v>0</v>
      </c>
      <c r="F260" s="56">
        <v>0</v>
      </c>
      <c r="G260" s="145">
        <v>233900</v>
      </c>
      <c r="H260" s="176">
        <f t="shared" si="12"/>
        <v>1.0448027873319337</v>
      </c>
    </row>
    <row r="261" spans="1:8" ht="24">
      <c r="A261" s="204"/>
      <c r="B261" s="10">
        <v>4610</v>
      </c>
      <c r="C261" s="61" t="s">
        <v>195</v>
      </c>
      <c r="D261" s="12">
        <v>22422</v>
      </c>
      <c r="E261" s="56">
        <v>0</v>
      </c>
      <c r="F261" s="56">
        <v>0</v>
      </c>
      <c r="G261" s="145">
        <v>0</v>
      </c>
      <c r="H261" s="176">
        <f t="shared" si="12"/>
        <v>0</v>
      </c>
    </row>
    <row r="262" spans="1:8" ht="15.75" customHeight="1">
      <c r="A262" s="204"/>
      <c r="B262" s="10">
        <v>6060</v>
      </c>
      <c r="C262" s="61" t="s">
        <v>223</v>
      </c>
      <c r="D262" s="12">
        <v>0</v>
      </c>
      <c r="E262" s="56">
        <v>0</v>
      </c>
      <c r="F262" s="56">
        <v>0</v>
      </c>
      <c r="G262" s="145">
        <v>60000</v>
      </c>
      <c r="H262" s="176"/>
    </row>
    <row r="263" spans="1:8" ht="15.75" customHeight="1">
      <c r="A263" s="204"/>
      <c r="B263" s="60">
        <v>6068</v>
      </c>
      <c r="C263" s="61" t="s">
        <v>223</v>
      </c>
      <c r="D263" s="62">
        <v>54619</v>
      </c>
      <c r="E263" s="57">
        <v>0</v>
      </c>
      <c r="F263" s="57">
        <v>0</v>
      </c>
      <c r="G263" s="138">
        <v>103590</v>
      </c>
      <c r="H263" s="177">
        <f t="shared" si="12"/>
        <v>1.8965927607609074</v>
      </c>
    </row>
    <row r="264" spans="1:8" ht="15.75" customHeight="1" thickBot="1">
      <c r="A264" s="205"/>
      <c r="B264" s="64">
        <v>6069</v>
      </c>
      <c r="C264" s="61" t="s">
        <v>223</v>
      </c>
      <c r="D264" s="106">
        <v>0</v>
      </c>
      <c r="E264" s="67"/>
      <c r="F264" s="67"/>
      <c r="G264" s="147">
        <v>34530</v>
      </c>
      <c r="H264" s="178"/>
    </row>
    <row r="265" spans="1:8" ht="15" thickBot="1" thickTop="1">
      <c r="A265" s="211" t="s">
        <v>56</v>
      </c>
      <c r="B265" s="212"/>
      <c r="C265" s="212"/>
      <c r="D265" s="63">
        <f>SUM(D238:D264)</f>
        <v>5433649</v>
      </c>
      <c r="E265" s="63">
        <f>SUM(E238:E263)</f>
        <v>0</v>
      </c>
      <c r="F265" s="63">
        <f>SUM(F238:F263)</f>
        <v>0</v>
      </c>
      <c r="G265" s="139">
        <f>SUM(G238:G264)</f>
        <v>5990420</v>
      </c>
      <c r="H265" s="174">
        <f>G265/D265</f>
        <v>1.102467237026168</v>
      </c>
    </row>
    <row r="266" spans="1:8" ht="14.25" thickTop="1">
      <c r="A266" s="216">
        <v>80134</v>
      </c>
      <c r="B266" s="239" t="s">
        <v>189</v>
      </c>
      <c r="C266" s="240"/>
      <c r="D266" s="240"/>
      <c r="E266" s="240"/>
      <c r="F266" s="240"/>
      <c r="G266" s="240"/>
      <c r="H266" s="241"/>
    </row>
    <row r="267" spans="1:8" ht="24">
      <c r="A267" s="216"/>
      <c r="B267" s="13">
        <v>3020</v>
      </c>
      <c r="C267" s="11" t="s">
        <v>216</v>
      </c>
      <c r="D267" s="12">
        <v>11600</v>
      </c>
      <c r="E267" s="56">
        <v>0</v>
      </c>
      <c r="F267" s="56">
        <v>0</v>
      </c>
      <c r="G267" s="145">
        <v>14300</v>
      </c>
      <c r="H267" s="176">
        <f>G267/D267</f>
        <v>1.2327586206896552</v>
      </c>
    </row>
    <row r="268" spans="1:8" ht="24">
      <c r="A268" s="216"/>
      <c r="B268" s="10">
        <v>4010</v>
      </c>
      <c r="C268" s="11" t="s">
        <v>64</v>
      </c>
      <c r="D268" s="12">
        <v>154900</v>
      </c>
      <c r="E268" s="56">
        <v>0</v>
      </c>
      <c r="F268" s="56">
        <v>0</v>
      </c>
      <c r="G268" s="145">
        <v>244900</v>
      </c>
      <c r="H268" s="176">
        <f aca="true" t="shared" si="13" ref="H268:H276">G268/D268</f>
        <v>1.581020012911556</v>
      </c>
    </row>
    <row r="269" spans="1:8" ht="12.75">
      <c r="A269" s="216"/>
      <c r="B269" s="10">
        <v>4040</v>
      </c>
      <c r="C269" s="11" t="s">
        <v>85</v>
      </c>
      <c r="D269" s="12">
        <v>9200</v>
      </c>
      <c r="E269" s="56">
        <v>0</v>
      </c>
      <c r="F269" s="56">
        <v>0</v>
      </c>
      <c r="G269" s="145">
        <v>16600</v>
      </c>
      <c r="H269" s="176">
        <f t="shared" si="13"/>
        <v>1.8043478260869565</v>
      </c>
    </row>
    <row r="270" spans="1:8" ht="14.25" customHeight="1">
      <c r="A270" s="216"/>
      <c r="B270" s="10">
        <v>4110</v>
      </c>
      <c r="C270" s="11" t="s">
        <v>84</v>
      </c>
      <c r="D270" s="12">
        <v>30180</v>
      </c>
      <c r="E270" s="56">
        <v>0</v>
      </c>
      <c r="F270" s="56">
        <v>0</v>
      </c>
      <c r="G270" s="145">
        <v>48300</v>
      </c>
      <c r="H270" s="176">
        <f t="shared" si="13"/>
        <v>1.6003976143141152</v>
      </c>
    </row>
    <row r="271" spans="1:8" ht="12.75">
      <c r="A271" s="216"/>
      <c r="B271" s="10">
        <v>4120</v>
      </c>
      <c r="C271" s="11" t="s">
        <v>83</v>
      </c>
      <c r="D271" s="12">
        <v>4190</v>
      </c>
      <c r="E271" s="56">
        <v>0</v>
      </c>
      <c r="F271" s="56">
        <v>0</v>
      </c>
      <c r="G271" s="145">
        <v>6800</v>
      </c>
      <c r="H271" s="176">
        <f t="shared" si="13"/>
        <v>1.6229116945107398</v>
      </c>
    </row>
    <row r="272" spans="1:8" ht="12.75">
      <c r="A272" s="216"/>
      <c r="B272" s="10">
        <v>4210</v>
      </c>
      <c r="C272" s="11" t="s">
        <v>67</v>
      </c>
      <c r="D272" s="12">
        <v>51871</v>
      </c>
      <c r="E272" s="56">
        <v>0</v>
      </c>
      <c r="F272" s="56">
        <v>0</v>
      </c>
      <c r="G272" s="145">
        <v>23000</v>
      </c>
      <c r="H272" s="176">
        <f>G272/D272</f>
        <v>0.4434076844479574</v>
      </c>
    </row>
    <row r="273" spans="1:8" ht="12.75">
      <c r="A273" s="216"/>
      <c r="B273" s="10">
        <v>4240</v>
      </c>
      <c r="C273" s="11" t="s">
        <v>102</v>
      </c>
      <c r="D273" s="12">
        <v>2000</v>
      </c>
      <c r="E273" s="56"/>
      <c r="F273" s="56"/>
      <c r="G273" s="145">
        <v>3000</v>
      </c>
      <c r="H273" s="176">
        <v>0</v>
      </c>
    </row>
    <row r="274" spans="1:8" ht="12.75">
      <c r="A274" s="216"/>
      <c r="B274" s="10">
        <v>4260</v>
      </c>
      <c r="C274" s="11" t="s">
        <v>68</v>
      </c>
      <c r="D274" s="12">
        <v>3400</v>
      </c>
      <c r="E274" s="56">
        <v>0</v>
      </c>
      <c r="F274" s="56">
        <v>0</v>
      </c>
      <c r="G274" s="145">
        <v>3400</v>
      </c>
      <c r="H274" s="176">
        <f t="shared" si="13"/>
        <v>1</v>
      </c>
    </row>
    <row r="275" spans="1:8" ht="12.75">
      <c r="A275" s="216"/>
      <c r="B275" s="10">
        <v>4300</v>
      </c>
      <c r="C275" s="11" t="s">
        <v>62</v>
      </c>
      <c r="D275" s="12">
        <v>1700</v>
      </c>
      <c r="E275" s="56">
        <v>0</v>
      </c>
      <c r="F275" s="56">
        <v>0</v>
      </c>
      <c r="G275" s="145">
        <v>1700</v>
      </c>
      <c r="H275" s="176">
        <f t="shared" si="13"/>
        <v>1</v>
      </c>
    </row>
    <row r="276" spans="1:8" ht="13.5" thickBot="1">
      <c r="A276" s="216"/>
      <c r="B276" s="10">
        <v>4440</v>
      </c>
      <c r="C276" s="11" t="s">
        <v>72</v>
      </c>
      <c r="D276" s="12">
        <v>7000</v>
      </c>
      <c r="E276" s="56">
        <v>0</v>
      </c>
      <c r="F276" s="56">
        <v>0</v>
      </c>
      <c r="G276" s="145">
        <v>13800</v>
      </c>
      <c r="H276" s="178">
        <f t="shared" si="13"/>
        <v>1.9714285714285715</v>
      </c>
    </row>
    <row r="277" spans="1:8" ht="15" thickBot="1" thickTop="1">
      <c r="A277" s="211" t="s">
        <v>221</v>
      </c>
      <c r="B277" s="212"/>
      <c r="C277" s="212"/>
      <c r="D277" s="63">
        <f>SUM(D267:D276)</f>
        <v>276041</v>
      </c>
      <c r="E277" s="63">
        <f>SUM(E267:E276)</f>
        <v>0</v>
      </c>
      <c r="F277" s="63">
        <f>SUM(F267:F276)</f>
        <v>0</v>
      </c>
      <c r="G277" s="63">
        <f>SUM(G267:G276)</f>
        <v>375800</v>
      </c>
      <c r="H277" s="174">
        <f>G277/D277</f>
        <v>1.361391967135317</v>
      </c>
    </row>
    <row r="278" spans="1:8" ht="14.25" thickTop="1">
      <c r="A278" s="216">
        <v>80145</v>
      </c>
      <c r="B278" s="239" t="s">
        <v>239</v>
      </c>
      <c r="C278" s="240"/>
      <c r="D278" s="240"/>
      <c r="E278" s="240"/>
      <c r="F278" s="240"/>
      <c r="G278" s="240"/>
      <c r="H278" s="241"/>
    </row>
    <row r="279" spans="1:8" ht="12.75" customHeight="1">
      <c r="A279" s="216"/>
      <c r="B279" s="10">
        <v>4110</v>
      </c>
      <c r="C279" s="11" t="s">
        <v>84</v>
      </c>
      <c r="D279" s="12">
        <v>25609</v>
      </c>
      <c r="E279" s="56">
        <v>0</v>
      </c>
      <c r="F279" s="56">
        <v>0</v>
      </c>
      <c r="G279" s="145">
        <v>21600</v>
      </c>
      <c r="H279" s="176">
        <f>G279/D279</f>
        <v>0.8434534733882619</v>
      </c>
    </row>
    <row r="280" spans="1:8" ht="12.75">
      <c r="A280" s="216"/>
      <c r="B280" s="10">
        <v>4120</v>
      </c>
      <c r="C280" s="11" t="s">
        <v>83</v>
      </c>
      <c r="D280" s="12">
        <v>3681</v>
      </c>
      <c r="E280" s="56">
        <v>0</v>
      </c>
      <c r="F280" s="56">
        <v>0</v>
      </c>
      <c r="G280" s="145">
        <v>3000</v>
      </c>
      <c r="H280" s="176">
        <f aca="true" t="shared" si="14" ref="H280:H329">G280/D280</f>
        <v>0.8149959250203749</v>
      </c>
    </row>
    <row r="281" spans="1:8" ht="12.75">
      <c r="A281" s="216"/>
      <c r="B281" s="123">
        <v>4170</v>
      </c>
      <c r="C281" s="132" t="s">
        <v>205</v>
      </c>
      <c r="D281" s="12">
        <v>146186</v>
      </c>
      <c r="E281" s="56">
        <v>0</v>
      </c>
      <c r="F281" s="56">
        <v>0</v>
      </c>
      <c r="G281" s="145">
        <v>120000</v>
      </c>
      <c r="H281" s="176">
        <f t="shared" si="14"/>
        <v>0.8208720397302067</v>
      </c>
    </row>
    <row r="282" spans="1:8" ht="12.75">
      <c r="A282" s="216"/>
      <c r="B282" s="10">
        <v>4210</v>
      </c>
      <c r="C282" s="11" t="s">
        <v>67</v>
      </c>
      <c r="D282" s="12">
        <v>22642</v>
      </c>
      <c r="E282" s="56">
        <v>0</v>
      </c>
      <c r="F282" s="56">
        <v>0</v>
      </c>
      <c r="G282" s="145">
        <v>30000</v>
      </c>
      <c r="H282" s="176">
        <f t="shared" si="14"/>
        <v>1.3249712922886672</v>
      </c>
    </row>
    <row r="283" spans="1:8" ht="12.75">
      <c r="A283" s="216"/>
      <c r="B283" s="47" t="s">
        <v>101</v>
      </c>
      <c r="C283" s="11" t="s">
        <v>102</v>
      </c>
      <c r="D283" s="12">
        <v>4479</v>
      </c>
      <c r="E283" s="56">
        <v>0</v>
      </c>
      <c r="F283" s="56">
        <v>0</v>
      </c>
      <c r="G283" s="145">
        <v>5000</v>
      </c>
      <c r="H283" s="176">
        <f t="shared" si="14"/>
        <v>1.1163206072784104</v>
      </c>
    </row>
    <row r="284" spans="1:8" ht="12.75">
      <c r="A284" s="216"/>
      <c r="B284" s="10">
        <v>4260</v>
      </c>
      <c r="C284" s="11" t="s">
        <v>68</v>
      </c>
      <c r="D284" s="12">
        <v>947</v>
      </c>
      <c r="E284" s="56">
        <v>0</v>
      </c>
      <c r="F284" s="56">
        <v>0</v>
      </c>
      <c r="G284" s="145">
        <v>2000</v>
      </c>
      <c r="H284" s="176">
        <f t="shared" si="14"/>
        <v>2.1119324181626187</v>
      </c>
    </row>
    <row r="285" spans="1:8" ht="12.75">
      <c r="A285" s="216"/>
      <c r="B285" s="10">
        <v>4270</v>
      </c>
      <c r="C285" s="11" t="s">
        <v>69</v>
      </c>
      <c r="D285" s="12">
        <v>4500</v>
      </c>
      <c r="E285" s="56">
        <v>0</v>
      </c>
      <c r="F285" s="56">
        <v>0</v>
      </c>
      <c r="G285" s="145">
        <v>4000</v>
      </c>
      <c r="H285" s="176">
        <f t="shared" si="14"/>
        <v>0.8888888888888888</v>
      </c>
    </row>
    <row r="286" spans="1:8" ht="12.75">
      <c r="A286" s="216"/>
      <c r="B286" s="10">
        <v>4300</v>
      </c>
      <c r="C286" s="11" t="s">
        <v>62</v>
      </c>
      <c r="D286" s="12">
        <v>6647</v>
      </c>
      <c r="E286" s="56">
        <v>0</v>
      </c>
      <c r="F286" s="56">
        <v>0</v>
      </c>
      <c r="G286" s="145">
        <v>8900</v>
      </c>
      <c r="H286" s="176">
        <f t="shared" si="14"/>
        <v>1.338949902211524</v>
      </c>
    </row>
    <row r="287" spans="1:8" ht="12.75">
      <c r="A287" s="216"/>
      <c r="B287" s="10">
        <v>4410</v>
      </c>
      <c r="C287" s="11" t="s">
        <v>126</v>
      </c>
      <c r="D287" s="12">
        <v>5961</v>
      </c>
      <c r="E287" s="56">
        <v>0</v>
      </c>
      <c r="F287" s="56">
        <v>0</v>
      </c>
      <c r="G287" s="145">
        <v>10000</v>
      </c>
      <c r="H287" s="176">
        <f t="shared" si="14"/>
        <v>1.6775708773695688</v>
      </c>
    </row>
    <row r="288" spans="1:8" ht="13.5" thickBot="1">
      <c r="A288" s="216"/>
      <c r="B288" s="10">
        <v>4430</v>
      </c>
      <c r="C288" s="61" t="s">
        <v>81</v>
      </c>
      <c r="D288" s="12">
        <v>500</v>
      </c>
      <c r="E288" s="56">
        <v>0</v>
      </c>
      <c r="F288" s="56">
        <v>0</v>
      </c>
      <c r="G288" s="145">
        <v>1000</v>
      </c>
      <c r="H288" s="178">
        <f t="shared" si="14"/>
        <v>2</v>
      </c>
    </row>
    <row r="289" spans="1:8" ht="15" thickBot="1" thickTop="1">
      <c r="A289" s="211" t="s">
        <v>240</v>
      </c>
      <c r="B289" s="212"/>
      <c r="C289" s="212"/>
      <c r="D289" s="63">
        <f>SUM(D279:D288)</f>
        <v>221152</v>
      </c>
      <c r="E289" s="63">
        <f>SUM(E279:E288)</f>
        <v>0</v>
      </c>
      <c r="F289" s="63">
        <f>SUM(F279:F288)</f>
        <v>0</v>
      </c>
      <c r="G289" s="139">
        <f>SUM(G279:G288)</f>
        <v>205500</v>
      </c>
      <c r="H289" s="194">
        <f t="shared" si="14"/>
        <v>0.9292251483142816</v>
      </c>
    </row>
    <row r="290" spans="1:8" ht="15" customHeight="1" thickTop="1">
      <c r="A290" s="257" t="s">
        <v>148</v>
      </c>
      <c r="B290" s="224" t="s">
        <v>149</v>
      </c>
      <c r="C290" s="225"/>
      <c r="D290" s="225"/>
      <c r="E290" s="225"/>
      <c r="F290" s="225"/>
      <c r="G290" s="225"/>
      <c r="H290" s="226"/>
    </row>
    <row r="291" spans="1:8" ht="12.75">
      <c r="A291" s="258"/>
      <c r="B291" s="13">
        <v>4300</v>
      </c>
      <c r="C291" s="14" t="s">
        <v>62</v>
      </c>
      <c r="D291" s="42">
        <v>9880</v>
      </c>
      <c r="E291" s="56">
        <v>0</v>
      </c>
      <c r="F291" s="56">
        <v>0</v>
      </c>
      <c r="G291" s="143">
        <v>8000</v>
      </c>
      <c r="H291" s="176">
        <f t="shared" si="14"/>
        <v>0.8097165991902834</v>
      </c>
    </row>
    <row r="292" spans="1:8" ht="24.75" thickBot="1">
      <c r="A292" s="223"/>
      <c r="B292" s="64">
        <v>3030</v>
      </c>
      <c r="C292" s="65" t="s">
        <v>77</v>
      </c>
      <c r="D292" s="66">
        <v>10570</v>
      </c>
      <c r="E292" s="67">
        <v>0</v>
      </c>
      <c r="F292" s="67">
        <v>0</v>
      </c>
      <c r="G292" s="153">
        <v>47390</v>
      </c>
      <c r="H292" s="178">
        <f t="shared" si="14"/>
        <v>4.483443708609271</v>
      </c>
    </row>
    <row r="293" spans="1:8" ht="15" thickBot="1" thickTop="1">
      <c r="A293" s="211" t="s">
        <v>150</v>
      </c>
      <c r="B293" s="212"/>
      <c r="C293" s="212"/>
      <c r="D293" s="63">
        <f>SUM(D291:D292)</f>
        <v>20450</v>
      </c>
      <c r="E293" s="93">
        <f>SUM(E291:E292)</f>
        <v>0</v>
      </c>
      <c r="F293" s="93">
        <f>SUM(F291:F292)</f>
        <v>0</v>
      </c>
      <c r="G293" s="146">
        <f>SUM(G291:G292)</f>
        <v>55390</v>
      </c>
      <c r="H293" s="195">
        <f t="shared" si="14"/>
        <v>2.708557457212714</v>
      </c>
    </row>
    <row r="294" spans="1:8" ht="15" customHeight="1" thickTop="1">
      <c r="A294" s="242" t="s">
        <v>57</v>
      </c>
      <c r="B294" s="224" t="s">
        <v>58</v>
      </c>
      <c r="C294" s="225"/>
      <c r="D294" s="225"/>
      <c r="E294" s="225"/>
      <c r="F294" s="225"/>
      <c r="G294" s="225"/>
      <c r="H294" s="226"/>
    </row>
    <row r="295" spans="1:8" ht="12.75">
      <c r="A295" s="243"/>
      <c r="B295" s="10">
        <v>4440</v>
      </c>
      <c r="C295" s="11" t="s">
        <v>72</v>
      </c>
      <c r="D295" s="12">
        <v>69972</v>
      </c>
      <c r="E295" s="56">
        <v>0</v>
      </c>
      <c r="F295" s="56">
        <v>0</v>
      </c>
      <c r="G295" s="145">
        <v>72930</v>
      </c>
      <c r="H295" s="176">
        <f t="shared" si="14"/>
        <v>1.0422740524781342</v>
      </c>
    </row>
    <row r="296" spans="1:8" ht="15.75" customHeight="1" thickBot="1">
      <c r="A296" s="244"/>
      <c r="B296" s="60">
        <v>6060</v>
      </c>
      <c r="C296" s="61" t="s">
        <v>223</v>
      </c>
      <c r="D296" s="107">
        <v>679469</v>
      </c>
      <c r="E296" s="57"/>
      <c r="F296" s="57">
        <v>0</v>
      </c>
      <c r="G296" s="138">
        <v>790000</v>
      </c>
      <c r="H296" s="178">
        <f t="shared" si="14"/>
        <v>1.1626726164107561</v>
      </c>
    </row>
    <row r="297" spans="1:8" ht="15" thickBot="1" thickTop="1">
      <c r="A297" s="211" t="s">
        <v>185</v>
      </c>
      <c r="B297" s="212"/>
      <c r="C297" s="212"/>
      <c r="D297" s="63">
        <f>SUM(D295:D296)</f>
        <v>749441</v>
      </c>
      <c r="E297" s="63">
        <f>SUM(E295:E296)</f>
        <v>0</v>
      </c>
      <c r="F297" s="63">
        <f>SUM(F295:F296)</f>
        <v>0</v>
      </c>
      <c r="G297" s="139">
        <f>SUM(G295:G296)</f>
        <v>862930</v>
      </c>
      <c r="H297" s="195">
        <f t="shared" si="14"/>
        <v>1.1514315336364036</v>
      </c>
    </row>
    <row r="298" spans="1:8" ht="16.5" thickBot="1" thickTop="1">
      <c r="A298" s="213" t="s">
        <v>37</v>
      </c>
      <c r="B298" s="214"/>
      <c r="C298" s="214"/>
      <c r="D298" s="52">
        <f>SUM(D203+D218+D236+D265+D277+D293+D297+D289)</f>
        <v>11060713</v>
      </c>
      <c r="E298" s="52">
        <f>SUM(E203+E218+E236+E265+E277+E293+E297+E289)</f>
        <v>0</v>
      </c>
      <c r="F298" s="52">
        <f>SUM(F203+F218+F236+F265+F277+F293+F297+F289)</f>
        <v>0</v>
      </c>
      <c r="G298" s="154">
        <f>SUM(G203+G218+G236+G265+G277+G293+G297+G289)</f>
        <v>12051930</v>
      </c>
      <c r="H298" s="196">
        <f t="shared" si="14"/>
        <v>1.089616013000247</v>
      </c>
    </row>
    <row r="299" spans="1:8" ht="21" thickBot="1" thickTop="1">
      <c r="A299" s="200" t="s">
        <v>228</v>
      </c>
      <c r="B299" s="201"/>
      <c r="C299" s="201"/>
      <c r="D299" s="201"/>
      <c r="E299" s="201"/>
      <c r="F299" s="201"/>
      <c r="G299" s="201"/>
      <c r="H299" s="202"/>
    </row>
    <row r="300" spans="1:8" ht="14.25" thickTop="1">
      <c r="A300" s="215">
        <v>80309</v>
      </c>
      <c r="B300" s="224" t="s">
        <v>229</v>
      </c>
      <c r="C300" s="225"/>
      <c r="D300" s="225"/>
      <c r="E300" s="225"/>
      <c r="F300" s="225"/>
      <c r="G300" s="225"/>
      <c r="H300" s="226"/>
    </row>
    <row r="301" spans="1:8" ht="51">
      <c r="A301" s="204"/>
      <c r="B301" s="70">
        <v>2910</v>
      </c>
      <c r="C301" s="69" t="s">
        <v>256</v>
      </c>
      <c r="D301" s="186">
        <v>600</v>
      </c>
      <c r="E301" s="96">
        <v>0</v>
      </c>
      <c r="F301" s="96">
        <v>0</v>
      </c>
      <c r="G301" s="155">
        <v>0</v>
      </c>
      <c r="H301" s="176">
        <f>G301/D301</f>
        <v>0</v>
      </c>
    </row>
    <row r="302" spans="1:8" ht="25.5">
      <c r="A302" s="204"/>
      <c r="B302" s="70">
        <v>3210</v>
      </c>
      <c r="C302" s="69" t="s">
        <v>241</v>
      </c>
      <c r="D302" s="96">
        <v>16687</v>
      </c>
      <c r="E302" s="96">
        <v>0</v>
      </c>
      <c r="F302" s="96">
        <v>0</v>
      </c>
      <c r="G302" s="155"/>
      <c r="H302" s="176">
        <f t="shared" si="14"/>
        <v>0</v>
      </c>
    </row>
    <row r="303" spans="1:8" ht="25.5">
      <c r="A303" s="204"/>
      <c r="B303" s="70">
        <v>3218</v>
      </c>
      <c r="C303" s="69" t="s">
        <v>241</v>
      </c>
      <c r="D303" s="96">
        <v>21685</v>
      </c>
      <c r="E303" s="96">
        <v>0</v>
      </c>
      <c r="F303" s="96">
        <v>0</v>
      </c>
      <c r="G303" s="155">
        <v>19950</v>
      </c>
      <c r="H303" s="176">
        <f t="shared" si="14"/>
        <v>0.9199907770348167</v>
      </c>
    </row>
    <row r="304" spans="1:8" ht="25.5">
      <c r="A304" s="204"/>
      <c r="B304" s="70">
        <v>3219</v>
      </c>
      <c r="C304" s="69" t="s">
        <v>241</v>
      </c>
      <c r="D304" s="96">
        <v>7228</v>
      </c>
      <c r="E304" s="96">
        <v>0</v>
      </c>
      <c r="F304" s="96">
        <v>0</v>
      </c>
      <c r="G304" s="155">
        <v>6650</v>
      </c>
      <c r="H304" s="176">
        <f t="shared" si="14"/>
        <v>0.9200332042058661</v>
      </c>
    </row>
    <row r="305" spans="1:8" ht="15" customHeight="1">
      <c r="A305" s="204"/>
      <c r="B305" s="60">
        <v>4118</v>
      </c>
      <c r="C305" s="61" t="s">
        <v>84</v>
      </c>
      <c r="D305" s="108">
        <v>34</v>
      </c>
      <c r="E305" s="57">
        <v>0</v>
      </c>
      <c r="F305" s="57">
        <v>0</v>
      </c>
      <c r="G305" s="157">
        <v>0</v>
      </c>
      <c r="H305" s="176">
        <f t="shared" si="14"/>
        <v>0</v>
      </c>
    </row>
    <row r="306" spans="1:8" ht="15" customHeight="1">
      <c r="A306" s="204"/>
      <c r="B306" s="10">
        <v>4119</v>
      </c>
      <c r="C306" s="61" t="s">
        <v>84</v>
      </c>
      <c r="D306" s="46">
        <v>12</v>
      </c>
      <c r="E306" s="56">
        <v>0</v>
      </c>
      <c r="F306" s="56">
        <v>0</v>
      </c>
      <c r="G306" s="155">
        <v>0</v>
      </c>
      <c r="H306" s="176">
        <f t="shared" si="14"/>
        <v>0</v>
      </c>
    </row>
    <row r="307" spans="1:8" ht="12.75">
      <c r="A307" s="204"/>
      <c r="B307" s="10">
        <v>4128</v>
      </c>
      <c r="C307" s="11" t="s">
        <v>83</v>
      </c>
      <c r="D307" s="46">
        <v>5</v>
      </c>
      <c r="E307" s="56">
        <v>0</v>
      </c>
      <c r="F307" s="56">
        <v>0</v>
      </c>
      <c r="G307" s="155">
        <v>0</v>
      </c>
      <c r="H307" s="176">
        <f t="shared" si="14"/>
        <v>0</v>
      </c>
    </row>
    <row r="308" spans="1:8" ht="12.75">
      <c r="A308" s="204"/>
      <c r="B308" s="118">
        <v>4178</v>
      </c>
      <c r="C308" s="119" t="s">
        <v>205</v>
      </c>
      <c r="D308" s="120">
        <v>199</v>
      </c>
      <c r="E308" s="121">
        <v>0</v>
      </c>
      <c r="F308" s="121">
        <v>0</v>
      </c>
      <c r="G308" s="156">
        <v>0</v>
      </c>
      <c r="H308" s="176">
        <f t="shared" si="14"/>
        <v>0</v>
      </c>
    </row>
    <row r="309" spans="1:8" ht="12.75">
      <c r="A309" s="204"/>
      <c r="B309" s="10">
        <v>4179</v>
      </c>
      <c r="C309" s="11" t="s">
        <v>205</v>
      </c>
      <c r="D309" s="46">
        <v>66</v>
      </c>
      <c r="E309" s="56">
        <v>0</v>
      </c>
      <c r="F309" s="56">
        <v>0</v>
      </c>
      <c r="G309" s="155">
        <v>0</v>
      </c>
      <c r="H309" s="176">
        <f t="shared" si="14"/>
        <v>0</v>
      </c>
    </row>
    <row r="310" spans="1:8" ht="12.75">
      <c r="A310" s="204"/>
      <c r="B310" s="118">
        <v>4129</v>
      </c>
      <c r="C310" s="119" t="s">
        <v>83</v>
      </c>
      <c r="D310" s="120">
        <v>1</v>
      </c>
      <c r="E310" s="121">
        <v>0</v>
      </c>
      <c r="F310" s="121">
        <v>0</v>
      </c>
      <c r="G310" s="156">
        <v>0</v>
      </c>
      <c r="H310" s="176">
        <f t="shared" si="14"/>
        <v>0</v>
      </c>
    </row>
    <row r="311" spans="1:8" ht="12.75">
      <c r="A311" s="204"/>
      <c r="B311" s="10">
        <v>4218</v>
      </c>
      <c r="C311" s="11" t="s">
        <v>67</v>
      </c>
      <c r="D311" s="46">
        <v>720</v>
      </c>
      <c r="E311" s="56">
        <v>0</v>
      </c>
      <c r="F311" s="56">
        <v>0</v>
      </c>
      <c r="G311" s="155">
        <v>440</v>
      </c>
      <c r="H311" s="176">
        <f t="shared" si="14"/>
        <v>0.6111111111111112</v>
      </c>
    </row>
    <row r="312" spans="1:8" ht="13.5" thickBot="1">
      <c r="A312" s="204"/>
      <c r="B312" s="118">
        <v>4219</v>
      </c>
      <c r="C312" s="119" t="s">
        <v>67</v>
      </c>
      <c r="D312" s="120">
        <v>240</v>
      </c>
      <c r="E312" s="121">
        <v>0</v>
      </c>
      <c r="F312" s="121">
        <v>0</v>
      </c>
      <c r="G312" s="156">
        <v>147</v>
      </c>
      <c r="H312" s="178">
        <f t="shared" si="14"/>
        <v>0.6125</v>
      </c>
    </row>
    <row r="313" spans="1:8" ht="15" thickBot="1" thickTop="1">
      <c r="A313" s="211" t="s">
        <v>230</v>
      </c>
      <c r="B313" s="212"/>
      <c r="C313" s="212"/>
      <c r="D313" s="93">
        <f>SUM(D301:D312)</f>
        <v>47477</v>
      </c>
      <c r="E313" s="93">
        <f>SUM(E301:E312)</f>
        <v>0</v>
      </c>
      <c r="F313" s="93">
        <f>SUM(F301:F312)</f>
        <v>0</v>
      </c>
      <c r="G313" s="93">
        <f>SUM(G301:G312)</f>
        <v>27187</v>
      </c>
      <c r="H313" s="194">
        <f t="shared" si="14"/>
        <v>0.5726351707142405</v>
      </c>
    </row>
    <row r="314" spans="1:8" ht="16.5" thickBot="1" thickTop="1">
      <c r="A314" s="213" t="s">
        <v>231</v>
      </c>
      <c r="B314" s="214"/>
      <c r="C314" s="214"/>
      <c r="D314" s="52">
        <f>D313</f>
        <v>47477</v>
      </c>
      <c r="E314" s="52">
        <f>E313</f>
        <v>0</v>
      </c>
      <c r="F314" s="52">
        <f>F313</f>
        <v>0</v>
      </c>
      <c r="G314" s="52">
        <f>G313</f>
        <v>27187</v>
      </c>
      <c r="H314" s="196">
        <f t="shared" si="14"/>
        <v>0.5726351707142405</v>
      </c>
    </row>
    <row r="315" spans="1:8" ht="21.75" customHeight="1" thickBot="1" thickTop="1">
      <c r="A315" s="200" t="s">
        <v>38</v>
      </c>
      <c r="B315" s="201"/>
      <c r="C315" s="201"/>
      <c r="D315" s="201"/>
      <c r="E315" s="201"/>
      <c r="F315" s="201"/>
      <c r="G315" s="201"/>
      <c r="H315" s="202"/>
    </row>
    <row r="316" spans="1:8" ht="15" customHeight="1" thickTop="1">
      <c r="A316" s="218">
        <v>85111</v>
      </c>
      <c r="B316" s="224" t="s">
        <v>108</v>
      </c>
      <c r="C316" s="225"/>
      <c r="D316" s="225"/>
      <c r="E316" s="225"/>
      <c r="F316" s="225"/>
      <c r="G316" s="225"/>
      <c r="H316" s="226"/>
    </row>
    <row r="317" spans="1:8" ht="60">
      <c r="A317" s="204"/>
      <c r="B317" s="60">
        <v>4160</v>
      </c>
      <c r="C317" s="61" t="s">
        <v>244</v>
      </c>
      <c r="D317" s="108">
        <v>132685</v>
      </c>
      <c r="E317" s="57">
        <v>0</v>
      </c>
      <c r="F317" s="57">
        <v>0</v>
      </c>
      <c r="G317" s="157">
        <v>0</v>
      </c>
      <c r="H317" s="176">
        <f t="shared" si="14"/>
        <v>0</v>
      </c>
    </row>
    <row r="318" spans="1:8" ht="14.25" customHeight="1" thickBot="1">
      <c r="A318" s="219"/>
      <c r="B318" s="60">
        <v>6060</v>
      </c>
      <c r="C318" s="61" t="s">
        <v>223</v>
      </c>
      <c r="D318" s="108">
        <v>187000</v>
      </c>
      <c r="E318" s="57">
        <v>0</v>
      </c>
      <c r="F318" s="57">
        <v>0</v>
      </c>
      <c r="G318" s="157">
        <v>360000</v>
      </c>
      <c r="H318" s="178">
        <f t="shared" si="14"/>
        <v>1.9251336898395721</v>
      </c>
    </row>
    <row r="319" spans="1:8" ht="15" thickBot="1" thickTop="1">
      <c r="A319" s="211" t="s">
        <v>109</v>
      </c>
      <c r="B319" s="212"/>
      <c r="C319" s="212"/>
      <c r="D319" s="93">
        <f>SUM(D317:D318)</f>
        <v>319685</v>
      </c>
      <c r="E319" s="93">
        <f>SUM(E317:E318)</f>
        <v>0</v>
      </c>
      <c r="F319" s="93">
        <f>SUM(F317:F318)</f>
        <v>0</v>
      </c>
      <c r="G319" s="146">
        <f>SUM(G317:G318)</f>
        <v>360000</v>
      </c>
      <c r="H319" s="194">
        <f t="shared" si="14"/>
        <v>1.1261085130675508</v>
      </c>
    </row>
    <row r="320" spans="1:8" ht="27.75" customHeight="1" thickTop="1">
      <c r="A320" s="256">
        <v>85156</v>
      </c>
      <c r="B320" s="224" t="s">
        <v>134</v>
      </c>
      <c r="C320" s="225"/>
      <c r="D320" s="225"/>
      <c r="E320" s="225"/>
      <c r="F320" s="225"/>
      <c r="G320" s="225"/>
      <c r="H320" s="226"/>
    </row>
    <row r="321" spans="1:8" ht="16.5" customHeight="1" thickBot="1">
      <c r="A321" s="256"/>
      <c r="B321" s="13">
        <v>4130</v>
      </c>
      <c r="C321" s="14" t="s">
        <v>84</v>
      </c>
      <c r="D321" s="44">
        <v>815000</v>
      </c>
      <c r="E321" s="56">
        <v>0</v>
      </c>
      <c r="F321" s="56">
        <v>0</v>
      </c>
      <c r="G321" s="148">
        <v>663200</v>
      </c>
      <c r="H321" s="178">
        <f t="shared" si="14"/>
        <v>0.8137423312883436</v>
      </c>
    </row>
    <row r="322" spans="1:8" ht="15" thickBot="1" thickTop="1">
      <c r="A322" s="211" t="s">
        <v>111</v>
      </c>
      <c r="B322" s="212"/>
      <c r="C322" s="212"/>
      <c r="D322" s="93">
        <f>SUM(D321:D321)</f>
        <v>815000</v>
      </c>
      <c r="E322" s="93">
        <f>SUM(E321:E321)</f>
        <v>0</v>
      </c>
      <c r="F322" s="93">
        <f>SUM(F321:F321)</f>
        <v>0</v>
      </c>
      <c r="G322" s="146">
        <f>SUM(G321:G321)</f>
        <v>663200</v>
      </c>
      <c r="H322" s="194">
        <f t="shared" si="14"/>
        <v>0.8137423312883436</v>
      </c>
    </row>
    <row r="323" spans="1:8" ht="16.5" thickBot="1" thickTop="1">
      <c r="A323" s="213" t="s">
        <v>39</v>
      </c>
      <c r="B323" s="214"/>
      <c r="C323" s="214"/>
      <c r="D323" s="52">
        <f>D319+D322</f>
        <v>1134685</v>
      </c>
      <c r="E323" s="52">
        <f>E319+E322</f>
        <v>0</v>
      </c>
      <c r="F323" s="52">
        <f>F319+F322</f>
        <v>0</v>
      </c>
      <c r="G323" s="154">
        <f>G319+G322</f>
        <v>1023200</v>
      </c>
      <c r="H323" s="196">
        <f t="shared" si="14"/>
        <v>0.9017480622375373</v>
      </c>
    </row>
    <row r="324" spans="1:8" ht="21" thickBot="1" thickTop="1">
      <c r="A324" s="200" t="s">
        <v>154</v>
      </c>
      <c r="B324" s="201"/>
      <c r="C324" s="201"/>
      <c r="D324" s="201"/>
      <c r="E324" s="201"/>
      <c r="F324" s="201"/>
      <c r="G324" s="201"/>
      <c r="H324" s="202"/>
    </row>
    <row r="325" spans="1:8" ht="15" customHeight="1" thickTop="1">
      <c r="A325" s="218">
        <v>85201</v>
      </c>
      <c r="B325" s="224" t="s">
        <v>129</v>
      </c>
      <c r="C325" s="225"/>
      <c r="D325" s="225"/>
      <c r="E325" s="225"/>
      <c r="F325" s="225"/>
      <c r="G325" s="225"/>
      <c r="H325" s="226"/>
    </row>
    <row r="326" spans="1:8" ht="30.75" customHeight="1">
      <c r="A326" s="218"/>
      <c r="B326" s="10">
        <v>2320</v>
      </c>
      <c r="C326" s="11" t="s">
        <v>107</v>
      </c>
      <c r="D326" s="12">
        <v>618000</v>
      </c>
      <c r="E326" s="56">
        <v>0</v>
      </c>
      <c r="F326" s="56">
        <v>0</v>
      </c>
      <c r="G326" s="145">
        <v>722777</v>
      </c>
      <c r="H326" s="176">
        <f t="shared" si="14"/>
        <v>1.169542071197411</v>
      </c>
    </row>
    <row r="327" spans="1:8" ht="12.75">
      <c r="A327" s="219"/>
      <c r="B327" s="60">
        <v>3110</v>
      </c>
      <c r="C327" s="61" t="s">
        <v>113</v>
      </c>
      <c r="D327" s="62">
        <v>51000</v>
      </c>
      <c r="E327" s="57">
        <v>0</v>
      </c>
      <c r="F327" s="57">
        <v>0</v>
      </c>
      <c r="G327" s="138">
        <v>57423</v>
      </c>
      <c r="H327" s="176">
        <f t="shared" si="14"/>
        <v>1.1259411764705882</v>
      </c>
    </row>
    <row r="328" spans="1:8" ht="13.5">
      <c r="A328" s="115"/>
      <c r="B328" s="60">
        <v>4210</v>
      </c>
      <c r="C328" s="61" t="s">
        <v>67</v>
      </c>
      <c r="D328" s="62">
        <v>38000</v>
      </c>
      <c r="E328" s="57"/>
      <c r="F328" s="57"/>
      <c r="G328" s="138">
        <v>0</v>
      </c>
      <c r="H328" s="176">
        <f t="shared" si="14"/>
        <v>0</v>
      </c>
    </row>
    <row r="329" spans="1:8" ht="15" customHeight="1" thickBot="1">
      <c r="A329" s="115"/>
      <c r="B329" s="64">
        <v>6060</v>
      </c>
      <c r="C329" s="65" t="s">
        <v>223</v>
      </c>
      <c r="D329" s="106">
        <v>8000</v>
      </c>
      <c r="E329" s="67">
        <v>0</v>
      </c>
      <c r="F329" s="67">
        <v>0</v>
      </c>
      <c r="G329" s="138">
        <v>0</v>
      </c>
      <c r="H329" s="178">
        <f t="shared" si="14"/>
        <v>0</v>
      </c>
    </row>
    <row r="330" spans="1:8" ht="15" thickBot="1" thickTop="1">
      <c r="A330" s="211" t="s">
        <v>155</v>
      </c>
      <c r="B330" s="212"/>
      <c r="C330" s="212"/>
      <c r="D330" s="63">
        <f>SUM(D326:D329)</f>
        <v>715000</v>
      </c>
      <c r="E330" s="63">
        <f>SUM(E326:E329)</f>
        <v>0</v>
      </c>
      <c r="F330" s="63">
        <f>SUM(F326:F329)</f>
        <v>0</v>
      </c>
      <c r="G330" s="139">
        <f>SUM(G326:G329)</f>
        <v>780200</v>
      </c>
      <c r="H330" s="174">
        <f>G330/D330</f>
        <v>1.0911888111888113</v>
      </c>
    </row>
    <row r="331" spans="1:8" ht="15" customHeight="1" thickTop="1">
      <c r="A331" s="218">
        <v>85202</v>
      </c>
      <c r="B331" s="224" t="s">
        <v>13</v>
      </c>
      <c r="C331" s="225"/>
      <c r="D331" s="225"/>
      <c r="E331" s="225"/>
      <c r="F331" s="225"/>
      <c r="G331" s="225"/>
      <c r="H331" s="226"/>
    </row>
    <row r="332" spans="1:8" ht="24">
      <c r="A332" s="216"/>
      <c r="B332" s="10">
        <v>2580</v>
      </c>
      <c r="C332" s="11" t="s">
        <v>227</v>
      </c>
      <c r="D332" s="12">
        <v>934906</v>
      </c>
      <c r="E332" s="56">
        <v>0</v>
      </c>
      <c r="F332" s="56">
        <v>0</v>
      </c>
      <c r="G332" s="145">
        <v>881458</v>
      </c>
      <c r="H332" s="176">
        <f>G332/D332</f>
        <v>0.9428306161261132</v>
      </c>
    </row>
    <row r="333" spans="1:8" ht="24">
      <c r="A333" s="216"/>
      <c r="B333" s="10">
        <v>3020</v>
      </c>
      <c r="C333" s="11" t="s">
        <v>247</v>
      </c>
      <c r="D333" s="12">
        <v>2200</v>
      </c>
      <c r="E333" s="56"/>
      <c r="F333" s="56"/>
      <c r="G333" s="145">
        <v>2200</v>
      </c>
      <c r="H333" s="176">
        <f>G333/D333</f>
        <v>1</v>
      </c>
    </row>
    <row r="334" spans="1:8" ht="24">
      <c r="A334" s="216"/>
      <c r="B334" s="10">
        <v>4010</v>
      </c>
      <c r="C334" s="11" t="s">
        <v>64</v>
      </c>
      <c r="D334" s="12">
        <v>1614941</v>
      </c>
      <c r="E334" s="56">
        <v>0</v>
      </c>
      <c r="F334" s="56">
        <v>0</v>
      </c>
      <c r="G334" s="145">
        <v>1678900</v>
      </c>
      <c r="H334" s="176">
        <f aca="true" t="shared" si="15" ref="H334:H349">G334/D334</f>
        <v>1.0396045428284997</v>
      </c>
    </row>
    <row r="335" spans="1:8" ht="12.75">
      <c r="A335" s="216"/>
      <c r="B335" s="10">
        <v>4040</v>
      </c>
      <c r="C335" s="11" t="s">
        <v>85</v>
      </c>
      <c r="D335" s="12">
        <v>127848</v>
      </c>
      <c r="E335" s="56">
        <v>0</v>
      </c>
      <c r="F335" s="56">
        <v>0</v>
      </c>
      <c r="G335" s="145">
        <v>134000</v>
      </c>
      <c r="H335" s="176">
        <f t="shared" si="15"/>
        <v>1.048119642074964</v>
      </c>
    </row>
    <row r="336" spans="1:8" ht="15.75" customHeight="1">
      <c r="A336" s="216"/>
      <c r="B336" s="10">
        <v>4110</v>
      </c>
      <c r="C336" s="11" t="s">
        <v>84</v>
      </c>
      <c r="D336" s="12">
        <v>305455</v>
      </c>
      <c r="E336" s="56">
        <v>0</v>
      </c>
      <c r="F336" s="56">
        <v>0</v>
      </c>
      <c r="G336" s="145">
        <v>311100</v>
      </c>
      <c r="H336" s="176">
        <f t="shared" si="15"/>
        <v>1.0184806272609714</v>
      </c>
    </row>
    <row r="337" spans="1:8" ht="12.75">
      <c r="A337" s="216"/>
      <c r="B337" s="10">
        <v>4120</v>
      </c>
      <c r="C337" s="11" t="s">
        <v>83</v>
      </c>
      <c r="D337" s="12">
        <v>42068</v>
      </c>
      <c r="E337" s="56">
        <v>0</v>
      </c>
      <c r="F337" s="56">
        <v>0</v>
      </c>
      <c r="G337" s="145">
        <v>42900</v>
      </c>
      <c r="H337" s="176">
        <f t="shared" si="15"/>
        <v>1.019777503090235</v>
      </c>
    </row>
    <row r="338" spans="1:8" ht="12.75">
      <c r="A338" s="216"/>
      <c r="B338" s="10">
        <v>4210</v>
      </c>
      <c r="C338" s="11" t="s">
        <v>67</v>
      </c>
      <c r="D338" s="12">
        <v>379655</v>
      </c>
      <c r="E338" s="56">
        <v>0</v>
      </c>
      <c r="F338" s="56">
        <v>0</v>
      </c>
      <c r="G338" s="145">
        <v>182689</v>
      </c>
      <c r="H338" s="176">
        <f t="shared" si="15"/>
        <v>0.48119740290526924</v>
      </c>
    </row>
    <row r="339" spans="1:8" ht="12.75">
      <c r="A339" s="216"/>
      <c r="B339" s="10">
        <v>4220</v>
      </c>
      <c r="C339" s="11" t="s">
        <v>93</v>
      </c>
      <c r="D339" s="12">
        <v>305700</v>
      </c>
      <c r="E339" s="56">
        <v>0</v>
      </c>
      <c r="F339" s="56">
        <v>0</v>
      </c>
      <c r="G339" s="145">
        <v>290700</v>
      </c>
      <c r="H339" s="176">
        <f t="shared" si="15"/>
        <v>0.9509322865554465</v>
      </c>
    </row>
    <row r="340" spans="1:8" ht="12.75">
      <c r="A340" s="216"/>
      <c r="B340" s="10">
        <v>4230</v>
      </c>
      <c r="C340" s="11" t="s">
        <v>92</v>
      </c>
      <c r="D340" s="12">
        <v>21700</v>
      </c>
      <c r="E340" s="56">
        <v>0</v>
      </c>
      <c r="F340" s="56">
        <v>0</v>
      </c>
      <c r="G340" s="145">
        <v>21900</v>
      </c>
      <c r="H340" s="176">
        <f t="shared" si="15"/>
        <v>1.0092165898617511</v>
      </c>
    </row>
    <row r="341" spans="1:8" ht="12.75">
      <c r="A341" s="216"/>
      <c r="B341" s="10">
        <v>4260</v>
      </c>
      <c r="C341" s="11" t="s">
        <v>68</v>
      </c>
      <c r="D341" s="12">
        <v>141200</v>
      </c>
      <c r="E341" s="56">
        <v>0</v>
      </c>
      <c r="F341" s="56">
        <v>0</v>
      </c>
      <c r="G341" s="145">
        <v>138600</v>
      </c>
      <c r="H341" s="176">
        <f t="shared" si="15"/>
        <v>0.9815864022662889</v>
      </c>
    </row>
    <row r="342" spans="1:8" ht="12.75">
      <c r="A342" s="216"/>
      <c r="B342" s="10">
        <v>4270</v>
      </c>
      <c r="C342" s="11" t="s">
        <v>69</v>
      </c>
      <c r="D342" s="12">
        <v>58200</v>
      </c>
      <c r="E342" s="56">
        <v>0</v>
      </c>
      <c r="F342" s="56">
        <v>0</v>
      </c>
      <c r="G342" s="145">
        <v>7200</v>
      </c>
      <c r="H342" s="176">
        <f t="shared" si="15"/>
        <v>0.12371134020618557</v>
      </c>
    </row>
    <row r="343" spans="1:8" ht="12.75">
      <c r="A343" s="216"/>
      <c r="B343" s="10">
        <v>4300</v>
      </c>
      <c r="C343" s="11" t="s">
        <v>62</v>
      </c>
      <c r="D343" s="12">
        <v>97800</v>
      </c>
      <c r="E343" s="56">
        <v>0</v>
      </c>
      <c r="F343" s="56">
        <v>0</v>
      </c>
      <c r="G343" s="145">
        <v>96600</v>
      </c>
      <c r="H343" s="176">
        <f t="shared" si="15"/>
        <v>0.9877300613496932</v>
      </c>
    </row>
    <row r="344" spans="1:8" ht="12.75">
      <c r="A344" s="216"/>
      <c r="B344" s="10">
        <v>4350</v>
      </c>
      <c r="C344" s="11" t="s">
        <v>209</v>
      </c>
      <c r="D344" s="12">
        <v>1200</v>
      </c>
      <c r="E344" s="56">
        <v>0</v>
      </c>
      <c r="F344" s="56">
        <v>0</v>
      </c>
      <c r="G344" s="145">
        <v>1000</v>
      </c>
      <c r="H344" s="176">
        <f t="shared" si="15"/>
        <v>0.8333333333333334</v>
      </c>
    </row>
    <row r="345" spans="1:8" ht="12.75">
      <c r="A345" s="216"/>
      <c r="B345" s="10">
        <v>4410</v>
      </c>
      <c r="C345" s="11" t="s">
        <v>70</v>
      </c>
      <c r="D345" s="12">
        <v>2500</v>
      </c>
      <c r="E345" s="56">
        <v>0</v>
      </c>
      <c r="F345" s="56">
        <v>0</v>
      </c>
      <c r="G345" s="145">
        <v>2500</v>
      </c>
      <c r="H345" s="176">
        <f t="shared" si="15"/>
        <v>1</v>
      </c>
    </row>
    <row r="346" spans="1:8" ht="12.75">
      <c r="A346" s="216"/>
      <c r="B346" s="10">
        <v>4430</v>
      </c>
      <c r="C346" s="11" t="s">
        <v>81</v>
      </c>
      <c r="D346" s="12">
        <v>8944</v>
      </c>
      <c r="E346" s="56">
        <v>0</v>
      </c>
      <c r="F346" s="56">
        <v>0</v>
      </c>
      <c r="G346" s="145">
        <v>11600</v>
      </c>
      <c r="H346" s="176">
        <f t="shared" si="15"/>
        <v>1.29695885509839</v>
      </c>
    </row>
    <row r="347" spans="1:8" ht="12.75">
      <c r="A347" s="216"/>
      <c r="B347" s="10">
        <v>4440</v>
      </c>
      <c r="C347" s="11" t="s">
        <v>72</v>
      </c>
      <c r="D347" s="12">
        <v>68572</v>
      </c>
      <c r="E347" s="56">
        <v>0</v>
      </c>
      <c r="F347" s="56">
        <v>0</v>
      </c>
      <c r="G347" s="145">
        <v>70800</v>
      </c>
      <c r="H347" s="176">
        <f t="shared" si="15"/>
        <v>1.0324913959050341</v>
      </c>
    </row>
    <row r="348" spans="1:8" ht="12.75">
      <c r="A348" s="216"/>
      <c r="B348" s="10">
        <v>4480</v>
      </c>
      <c r="C348" s="11" t="s">
        <v>73</v>
      </c>
      <c r="D348" s="12">
        <v>1914</v>
      </c>
      <c r="E348" s="56">
        <v>0</v>
      </c>
      <c r="F348" s="56">
        <v>0</v>
      </c>
      <c r="G348" s="145">
        <v>2900</v>
      </c>
      <c r="H348" s="176">
        <f t="shared" si="15"/>
        <v>1.5151515151515151</v>
      </c>
    </row>
    <row r="349" spans="1:8" ht="15" customHeight="1" thickBot="1">
      <c r="A349" s="219"/>
      <c r="B349" s="60">
        <v>6060</v>
      </c>
      <c r="C349" s="61" t="s">
        <v>223</v>
      </c>
      <c r="D349" s="62">
        <v>140775</v>
      </c>
      <c r="E349" s="57">
        <v>0</v>
      </c>
      <c r="F349" s="57">
        <v>0</v>
      </c>
      <c r="G349" s="138">
        <v>0</v>
      </c>
      <c r="H349" s="178">
        <f t="shared" si="15"/>
        <v>0</v>
      </c>
    </row>
    <row r="350" spans="1:8" ht="15" thickBot="1" thickTop="1">
      <c r="A350" s="211" t="s">
        <v>156</v>
      </c>
      <c r="B350" s="212"/>
      <c r="C350" s="212"/>
      <c r="D350" s="63">
        <f>SUM(D332:D349)</f>
        <v>4255578</v>
      </c>
      <c r="E350" s="63">
        <f>SUM(E332:E349)</f>
        <v>0</v>
      </c>
      <c r="F350" s="63">
        <f>SUM(F332:F349)</f>
        <v>0</v>
      </c>
      <c r="G350" s="139">
        <f>SUM(G332:G349)</f>
        <v>3877047</v>
      </c>
      <c r="H350" s="174">
        <f>G350/D350</f>
        <v>0.9110506257904332</v>
      </c>
    </row>
    <row r="351" spans="1:8" ht="15" customHeight="1" thickTop="1">
      <c r="A351" s="218">
        <v>85204</v>
      </c>
      <c r="B351" s="224" t="s">
        <v>14</v>
      </c>
      <c r="C351" s="225"/>
      <c r="D351" s="225"/>
      <c r="E351" s="225"/>
      <c r="F351" s="225"/>
      <c r="G351" s="225"/>
      <c r="H351" s="226"/>
    </row>
    <row r="352" spans="1:8" ht="24.75" customHeight="1">
      <c r="A352" s="216"/>
      <c r="B352" s="10">
        <v>2320</v>
      </c>
      <c r="C352" s="14" t="s">
        <v>107</v>
      </c>
      <c r="D352" s="12">
        <v>52000</v>
      </c>
      <c r="E352" s="109">
        <v>0</v>
      </c>
      <c r="F352" s="56">
        <v>0</v>
      </c>
      <c r="G352" s="145">
        <v>44740</v>
      </c>
      <c r="H352" s="176">
        <f>G352/D352</f>
        <v>0.8603846153846154</v>
      </c>
    </row>
    <row r="353" spans="1:8" ht="15" customHeight="1" thickBot="1">
      <c r="A353" s="219"/>
      <c r="B353" s="60">
        <v>3110</v>
      </c>
      <c r="C353" s="61" t="s">
        <v>113</v>
      </c>
      <c r="D353" s="106">
        <v>350000</v>
      </c>
      <c r="E353" s="110">
        <v>0</v>
      </c>
      <c r="F353" s="57">
        <v>0</v>
      </c>
      <c r="G353" s="138">
        <v>403260</v>
      </c>
      <c r="H353" s="178">
        <f>G353/D353</f>
        <v>1.1521714285714286</v>
      </c>
    </row>
    <row r="354" spans="1:8" ht="15" thickBot="1" thickTop="1">
      <c r="A354" s="211" t="s">
        <v>157</v>
      </c>
      <c r="B354" s="212"/>
      <c r="C354" s="212"/>
      <c r="D354" s="93">
        <f>SUM(D352:D353)</f>
        <v>402000</v>
      </c>
      <c r="E354" s="93">
        <f>SUM(E352:E353)</f>
        <v>0</v>
      </c>
      <c r="F354" s="93">
        <f>SUM(F352:F353)</f>
        <v>0</v>
      </c>
      <c r="G354" s="146">
        <f>SUM(G352:G353)</f>
        <v>448000</v>
      </c>
      <c r="H354" s="174">
        <f>G354/D354</f>
        <v>1.1144278606965174</v>
      </c>
    </row>
    <row r="355" spans="1:8" ht="14.25" thickTop="1">
      <c r="A355" s="218">
        <v>85212</v>
      </c>
      <c r="B355" s="224" t="s">
        <v>194</v>
      </c>
      <c r="C355" s="225"/>
      <c r="D355" s="225"/>
      <c r="E355" s="225"/>
      <c r="F355" s="225"/>
      <c r="G355" s="225"/>
      <c r="H355" s="226"/>
    </row>
    <row r="356" spans="1:8" ht="13.5" thickBot="1">
      <c r="A356" s="219"/>
      <c r="B356" s="60">
        <v>3110</v>
      </c>
      <c r="C356" s="61" t="s">
        <v>113</v>
      </c>
      <c r="D356" s="62">
        <v>6040</v>
      </c>
      <c r="E356" s="57">
        <v>0</v>
      </c>
      <c r="F356" s="57">
        <v>0</v>
      </c>
      <c r="G356" s="138">
        <v>0</v>
      </c>
      <c r="H356" s="165">
        <f>G356/D356</f>
        <v>0</v>
      </c>
    </row>
    <row r="357" spans="1:8" ht="15" thickBot="1" thickTop="1">
      <c r="A357" s="211" t="s">
        <v>198</v>
      </c>
      <c r="B357" s="212"/>
      <c r="C357" s="212"/>
      <c r="D357" s="63">
        <f>SUM(D356)</f>
        <v>6040</v>
      </c>
      <c r="E357" s="93">
        <f>SUM(E356)</f>
        <v>0</v>
      </c>
      <c r="F357" s="93">
        <f>SUM(F356)</f>
        <v>0</v>
      </c>
      <c r="G357" s="146">
        <f>SUM(G356)</f>
        <v>0</v>
      </c>
      <c r="H357" s="168">
        <f>G357/D357</f>
        <v>0</v>
      </c>
    </row>
    <row r="358" spans="1:8" ht="14.25" thickTop="1">
      <c r="A358" s="215">
        <v>85218</v>
      </c>
      <c r="B358" s="224" t="s">
        <v>40</v>
      </c>
      <c r="C358" s="225"/>
      <c r="D358" s="225"/>
      <c r="E358" s="225"/>
      <c r="F358" s="225"/>
      <c r="G358" s="225"/>
      <c r="H358" s="226"/>
    </row>
    <row r="359" spans="1:8" ht="24">
      <c r="A359" s="216"/>
      <c r="B359" s="13">
        <v>3020</v>
      </c>
      <c r="C359" s="11" t="s">
        <v>216</v>
      </c>
      <c r="D359" s="12">
        <v>800</v>
      </c>
      <c r="E359" s="56">
        <v>0</v>
      </c>
      <c r="F359" s="56">
        <v>0</v>
      </c>
      <c r="G359" s="145">
        <v>900</v>
      </c>
      <c r="H359" s="176">
        <f>G359/D359</f>
        <v>1.125</v>
      </c>
    </row>
    <row r="360" spans="1:8" ht="24">
      <c r="A360" s="216"/>
      <c r="B360" s="10">
        <v>4010</v>
      </c>
      <c r="C360" s="11" t="s">
        <v>64</v>
      </c>
      <c r="D360" s="12">
        <v>143923</v>
      </c>
      <c r="E360" s="56">
        <v>0</v>
      </c>
      <c r="F360" s="56">
        <v>0</v>
      </c>
      <c r="G360" s="145">
        <v>155600</v>
      </c>
      <c r="H360" s="176">
        <f aca="true" t="shared" si="16" ref="H360:H370">G360/D360</f>
        <v>1.0811336617496856</v>
      </c>
    </row>
    <row r="361" spans="1:8" ht="12.75">
      <c r="A361" s="216"/>
      <c r="B361" s="10">
        <v>4040</v>
      </c>
      <c r="C361" s="11" t="s">
        <v>85</v>
      </c>
      <c r="D361" s="12">
        <v>12197</v>
      </c>
      <c r="E361" s="56">
        <v>0</v>
      </c>
      <c r="F361" s="56">
        <v>0</v>
      </c>
      <c r="G361" s="145">
        <v>12300</v>
      </c>
      <c r="H361" s="176">
        <f t="shared" si="16"/>
        <v>1.0084446995162746</v>
      </c>
    </row>
    <row r="362" spans="1:8" ht="15" customHeight="1">
      <c r="A362" s="216"/>
      <c r="B362" s="10">
        <v>4110</v>
      </c>
      <c r="C362" s="11" t="s">
        <v>84</v>
      </c>
      <c r="D362" s="12">
        <v>27755</v>
      </c>
      <c r="E362" s="56">
        <v>0</v>
      </c>
      <c r="F362" s="56">
        <v>0</v>
      </c>
      <c r="G362" s="145">
        <v>30600</v>
      </c>
      <c r="H362" s="176">
        <f t="shared" si="16"/>
        <v>1.1025040533237254</v>
      </c>
    </row>
    <row r="363" spans="1:8" ht="12.75">
      <c r="A363" s="216"/>
      <c r="B363" s="10">
        <v>4120</v>
      </c>
      <c r="C363" s="11" t="s">
        <v>83</v>
      </c>
      <c r="D363" s="12">
        <v>3825</v>
      </c>
      <c r="E363" s="56">
        <v>0</v>
      </c>
      <c r="F363" s="56">
        <v>0</v>
      </c>
      <c r="G363" s="145">
        <v>4200</v>
      </c>
      <c r="H363" s="176">
        <f t="shared" si="16"/>
        <v>1.0980392156862746</v>
      </c>
    </row>
    <row r="364" spans="1:8" ht="12.75">
      <c r="A364" s="216"/>
      <c r="B364" s="10">
        <v>4210</v>
      </c>
      <c r="C364" s="11" t="s">
        <v>67</v>
      </c>
      <c r="D364" s="12">
        <v>13503</v>
      </c>
      <c r="E364" s="56">
        <v>0</v>
      </c>
      <c r="F364" s="56">
        <v>0</v>
      </c>
      <c r="G364" s="145">
        <v>10500</v>
      </c>
      <c r="H364" s="176">
        <f t="shared" si="16"/>
        <v>0.7776049766718507</v>
      </c>
    </row>
    <row r="365" spans="1:8" ht="12.75">
      <c r="A365" s="216"/>
      <c r="B365" s="10">
        <v>4270</v>
      </c>
      <c r="C365" s="11" t="s">
        <v>82</v>
      </c>
      <c r="D365" s="12">
        <v>122</v>
      </c>
      <c r="E365" s="56">
        <v>0</v>
      </c>
      <c r="F365" s="56">
        <v>0</v>
      </c>
      <c r="G365" s="145">
        <v>1100</v>
      </c>
      <c r="H365" s="176">
        <f t="shared" si="16"/>
        <v>9.01639344262295</v>
      </c>
    </row>
    <row r="366" spans="1:8" ht="12.75">
      <c r="A366" s="216"/>
      <c r="B366" s="10">
        <v>4300</v>
      </c>
      <c r="C366" s="11" t="s">
        <v>62</v>
      </c>
      <c r="D366" s="12">
        <v>7500</v>
      </c>
      <c r="E366" s="56">
        <v>0</v>
      </c>
      <c r="F366" s="56">
        <v>0</v>
      </c>
      <c r="G366" s="145">
        <v>10300</v>
      </c>
      <c r="H366" s="176">
        <f t="shared" si="16"/>
        <v>1.3733333333333333</v>
      </c>
    </row>
    <row r="367" spans="1:8" ht="12.75">
      <c r="A367" s="216"/>
      <c r="B367" s="10">
        <v>4350</v>
      </c>
      <c r="C367" s="11" t="s">
        <v>213</v>
      </c>
      <c r="D367" s="12">
        <v>1977</v>
      </c>
      <c r="E367" s="56">
        <v>0</v>
      </c>
      <c r="F367" s="56">
        <v>0</v>
      </c>
      <c r="G367" s="145">
        <v>1800</v>
      </c>
      <c r="H367" s="176">
        <f t="shared" si="16"/>
        <v>0.9104704097116844</v>
      </c>
    </row>
    <row r="368" spans="1:8" ht="12.75">
      <c r="A368" s="216"/>
      <c r="B368" s="10">
        <v>4410</v>
      </c>
      <c r="C368" s="11" t="s">
        <v>70</v>
      </c>
      <c r="D368" s="12">
        <v>3400</v>
      </c>
      <c r="E368" s="56">
        <v>0</v>
      </c>
      <c r="F368" s="56">
        <v>0</v>
      </c>
      <c r="G368" s="145">
        <v>3500</v>
      </c>
      <c r="H368" s="176">
        <f t="shared" si="16"/>
        <v>1.0294117647058822</v>
      </c>
    </row>
    <row r="369" spans="1:8" ht="12.75">
      <c r="A369" s="216"/>
      <c r="B369" s="10">
        <v>4430</v>
      </c>
      <c r="C369" s="11" t="s">
        <v>81</v>
      </c>
      <c r="D369" s="12">
        <v>1093</v>
      </c>
      <c r="E369" s="56">
        <v>0</v>
      </c>
      <c r="F369" s="56">
        <v>0</v>
      </c>
      <c r="G369" s="145">
        <v>1200</v>
      </c>
      <c r="H369" s="176">
        <f t="shared" si="16"/>
        <v>1.0978956999085088</v>
      </c>
    </row>
    <row r="370" spans="1:8" ht="13.5" thickBot="1">
      <c r="A370" s="217"/>
      <c r="B370" s="64">
        <v>4440</v>
      </c>
      <c r="C370" s="65" t="s">
        <v>72</v>
      </c>
      <c r="D370" s="106">
        <v>4705</v>
      </c>
      <c r="E370" s="67">
        <v>0</v>
      </c>
      <c r="F370" s="67">
        <v>0</v>
      </c>
      <c r="G370" s="147">
        <v>4400</v>
      </c>
      <c r="H370" s="178">
        <f t="shared" si="16"/>
        <v>0.9351753453772582</v>
      </c>
    </row>
    <row r="371" spans="1:8" ht="15" thickBot="1" thickTop="1">
      <c r="A371" s="211" t="s">
        <v>158</v>
      </c>
      <c r="B371" s="212"/>
      <c r="C371" s="212"/>
      <c r="D371" s="63">
        <f>SUM(D359:D370)</f>
        <v>220800</v>
      </c>
      <c r="E371" s="63">
        <f>SUM(E359:E370)</f>
        <v>0</v>
      </c>
      <c r="F371" s="63">
        <f>SUM(F359:F370)</f>
        <v>0</v>
      </c>
      <c r="G371" s="63">
        <f>SUM(G359:G370)</f>
        <v>236400</v>
      </c>
      <c r="H371" s="174">
        <f>G371/D371</f>
        <v>1.0706521739130435</v>
      </c>
    </row>
    <row r="372" spans="1:8" ht="29.25" customHeight="1" thickTop="1">
      <c r="A372" s="218">
        <v>85220</v>
      </c>
      <c r="B372" s="224" t="s">
        <v>196</v>
      </c>
      <c r="C372" s="225"/>
      <c r="D372" s="225"/>
      <c r="E372" s="225"/>
      <c r="F372" s="225"/>
      <c r="G372" s="225"/>
      <c r="H372" s="226"/>
    </row>
    <row r="373" spans="1:8" ht="15" customHeight="1">
      <c r="A373" s="216"/>
      <c r="B373" s="10">
        <v>4110</v>
      </c>
      <c r="C373" s="11" t="s">
        <v>84</v>
      </c>
      <c r="D373" s="12">
        <v>1500</v>
      </c>
      <c r="E373" s="56">
        <v>0</v>
      </c>
      <c r="F373" s="56">
        <v>0</v>
      </c>
      <c r="G373" s="145">
        <v>800</v>
      </c>
      <c r="H373" s="176">
        <f>G373/D373</f>
        <v>0.5333333333333333</v>
      </c>
    </row>
    <row r="374" spans="1:8" ht="15" customHeight="1">
      <c r="A374" s="216"/>
      <c r="B374" s="10">
        <v>4120</v>
      </c>
      <c r="C374" s="11" t="s">
        <v>83</v>
      </c>
      <c r="D374" s="12">
        <v>200</v>
      </c>
      <c r="E374" s="56">
        <v>0</v>
      </c>
      <c r="F374" s="56">
        <v>0</v>
      </c>
      <c r="G374" s="145">
        <v>100</v>
      </c>
      <c r="H374" s="176">
        <f>G374/D374</f>
        <v>0.5</v>
      </c>
    </row>
    <row r="375" spans="1:8" ht="15" customHeight="1">
      <c r="A375" s="216"/>
      <c r="B375" s="10">
        <v>4170</v>
      </c>
      <c r="C375" s="11" t="s">
        <v>205</v>
      </c>
      <c r="D375" s="12">
        <v>7800</v>
      </c>
      <c r="E375" s="56">
        <v>0</v>
      </c>
      <c r="F375" s="56">
        <v>0</v>
      </c>
      <c r="G375" s="145">
        <v>7800</v>
      </c>
      <c r="H375" s="176">
        <f>G375/D375</f>
        <v>1</v>
      </c>
    </row>
    <row r="376" spans="1:8" ht="13.5" thickBot="1">
      <c r="A376" s="219"/>
      <c r="B376" s="60">
        <v>4300</v>
      </c>
      <c r="C376" s="61" t="s">
        <v>62</v>
      </c>
      <c r="D376" s="62">
        <v>16400</v>
      </c>
      <c r="E376" s="57">
        <v>0</v>
      </c>
      <c r="F376" s="57">
        <v>0</v>
      </c>
      <c r="G376" s="138">
        <v>16400</v>
      </c>
      <c r="H376" s="178">
        <f>G376/D376</f>
        <v>1</v>
      </c>
    </row>
    <row r="377" spans="1:8" ht="15" thickBot="1" thickTop="1">
      <c r="A377" s="211" t="s">
        <v>197</v>
      </c>
      <c r="B377" s="212"/>
      <c r="C377" s="212"/>
      <c r="D377" s="63">
        <f>SUM(D373:D376)</f>
        <v>25900</v>
      </c>
      <c r="E377" s="63">
        <f>SUM(E373:E376)</f>
        <v>0</v>
      </c>
      <c r="F377" s="63">
        <f>SUM(F373:F376)</f>
        <v>0</v>
      </c>
      <c r="G377" s="63">
        <f>SUM(G373:G376)</f>
        <v>25100</v>
      </c>
      <c r="H377" s="174">
        <f>G377/D377</f>
        <v>0.9691119691119691</v>
      </c>
    </row>
    <row r="378" spans="1:8" ht="14.25" thickTop="1">
      <c r="A378" s="218">
        <v>85295</v>
      </c>
      <c r="B378" s="224" t="s">
        <v>58</v>
      </c>
      <c r="C378" s="225"/>
      <c r="D378" s="225"/>
      <c r="E378" s="225"/>
      <c r="F378" s="225"/>
      <c r="G378" s="225"/>
      <c r="H378" s="226"/>
    </row>
    <row r="379" spans="1:8" ht="12.75">
      <c r="A379" s="216"/>
      <c r="B379" s="10">
        <v>4178</v>
      </c>
      <c r="C379" s="11" t="s">
        <v>205</v>
      </c>
      <c r="D379" s="12">
        <v>119140</v>
      </c>
      <c r="E379" s="56">
        <v>0</v>
      </c>
      <c r="F379" s="56">
        <v>0</v>
      </c>
      <c r="G379" s="145">
        <v>62160</v>
      </c>
      <c r="H379" s="176">
        <f aca="true" t="shared" si="17" ref="H379:H385">G379/D379</f>
        <v>0.5217391304347826</v>
      </c>
    </row>
    <row r="380" spans="1:8" ht="12.75">
      <c r="A380" s="216"/>
      <c r="B380" s="10">
        <v>4218</v>
      </c>
      <c r="C380" s="11" t="s">
        <v>67</v>
      </c>
      <c r="D380" s="12">
        <v>5514</v>
      </c>
      <c r="E380" s="56">
        <v>0</v>
      </c>
      <c r="F380" s="56">
        <v>0</v>
      </c>
      <c r="G380" s="145">
        <v>2021</v>
      </c>
      <c r="H380" s="176">
        <f t="shared" si="17"/>
        <v>0.3665215814290896</v>
      </c>
    </row>
    <row r="381" spans="1:8" ht="12.75">
      <c r="A381" s="216"/>
      <c r="B381" s="10">
        <v>4228</v>
      </c>
      <c r="C381" s="11" t="s">
        <v>255</v>
      </c>
      <c r="D381" s="12">
        <v>8740</v>
      </c>
      <c r="E381" s="56">
        <v>0</v>
      </c>
      <c r="F381" s="56">
        <v>0</v>
      </c>
      <c r="G381" s="145">
        <v>4560</v>
      </c>
      <c r="H381" s="176">
        <f t="shared" si="17"/>
        <v>0.5217391304347826</v>
      </c>
    </row>
    <row r="382" spans="1:8" ht="12.75">
      <c r="A382" s="219"/>
      <c r="B382" s="60">
        <v>4308</v>
      </c>
      <c r="C382" s="61" t="s">
        <v>62</v>
      </c>
      <c r="D382" s="62">
        <v>4600</v>
      </c>
      <c r="E382" s="57"/>
      <c r="F382" s="57"/>
      <c r="G382" s="138">
        <v>2400</v>
      </c>
      <c r="H382" s="177">
        <f t="shared" si="17"/>
        <v>0.5217391304347826</v>
      </c>
    </row>
    <row r="383" spans="1:8" ht="12.75">
      <c r="A383" s="219"/>
      <c r="B383" s="60">
        <v>4418</v>
      </c>
      <c r="C383" s="11" t="s">
        <v>70</v>
      </c>
      <c r="D383" s="62">
        <v>8681</v>
      </c>
      <c r="E383" s="57"/>
      <c r="F383" s="57"/>
      <c r="G383" s="138">
        <v>3673</v>
      </c>
      <c r="H383" s="177">
        <f t="shared" si="17"/>
        <v>0.4231079368736321</v>
      </c>
    </row>
    <row r="384" spans="1:8" ht="13.5" customHeight="1" thickBot="1">
      <c r="A384" s="219"/>
      <c r="B384" s="60">
        <v>6068</v>
      </c>
      <c r="C384" s="61" t="s">
        <v>223</v>
      </c>
      <c r="D384" s="62">
        <v>7500</v>
      </c>
      <c r="E384" s="57">
        <v>0</v>
      </c>
      <c r="F384" s="57">
        <v>0</v>
      </c>
      <c r="G384" s="138">
        <v>0</v>
      </c>
      <c r="H384" s="178">
        <f t="shared" si="17"/>
        <v>0</v>
      </c>
    </row>
    <row r="385" spans="1:8" ht="15" thickBot="1" thickTop="1">
      <c r="A385" s="211" t="s">
        <v>257</v>
      </c>
      <c r="B385" s="212"/>
      <c r="C385" s="212"/>
      <c r="D385" s="63">
        <f>SUM(D379:D384)</f>
        <v>154175</v>
      </c>
      <c r="E385" s="63">
        <f>SUM(E379:E384)</f>
        <v>0</v>
      </c>
      <c r="F385" s="63">
        <f>SUM(F379:F384)</f>
        <v>0</v>
      </c>
      <c r="G385" s="63">
        <f>SUM(G379:G384)</f>
        <v>74814</v>
      </c>
      <c r="H385" s="174">
        <f t="shared" si="17"/>
        <v>0.4852537700664829</v>
      </c>
    </row>
    <row r="386" spans="1:8" ht="16.5" thickBot="1" thickTop="1">
      <c r="A386" s="213" t="s">
        <v>159</v>
      </c>
      <c r="B386" s="214"/>
      <c r="C386" s="214"/>
      <c r="D386" s="51">
        <f>SUM(D330+D350+D354+D371+D377+D357+D385)</f>
        <v>5779493</v>
      </c>
      <c r="E386" s="51">
        <f>SUM(E330+E350+E354+E371+E377+E357+E385)</f>
        <v>0</v>
      </c>
      <c r="F386" s="51">
        <f>SUM(F330+F350+F354+F371+F377+F357+F385)</f>
        <v>0</v>
      </c>
      <c r="G386" s="51">
        <f>SUM(G330+G350+G354+G371+G377+G357+G385)</f>
        <v>5441561</v>
      </c>
      <c r="H386" s="175">
        <f>G386/D386</f>
        <v>0.9415291272089091</v>
      </c>
    </row>
    <row r="387" spans="1:8" ht="21" thickBot="1" thickTop="1">
      <c r="A387" s="200" t="s">
        <v>160</v>
      </c>
      <c r="B387" s="201"/>
      <c r="C387" s="201"/>
      <c r="D387" s="201"/>
      <c r="E387" s="201"/>
      <c r="F387" s="201"/>
      <c r="G387" s="201"/>
      <c r="H387" s="202"/>
    </row>
    <row r="388" spans="1:8" ht="14.25" thickTop="1">
      <c r="A388" s="203">
        <v>85321</v>
      </c>
      <c r="B388" s="224" t="s">
        <v>15</v>
      </c>
      <c r="C388" s="225"/>
      <c r="D388" s="225"/>
      <c r="E388" s="225"/>
      <c r="F388" s="225"/>
      <c r="G388" s="225"/>
      <c r="H388" s="226"/>
    </row>
    <row r="389" spans="1:8" ht="24">
      <c r="A389" s="204"/>
      <c r="B389" s="10">
        <v>4010</v>
      </c>
      <c r="C389" s="14" t="s">
        <v>190</v>
      </c>
      <c r="D389" s="44">
        <v>17991</v>
      </c>
      <c r="E389" s="56">
        <v>0</v>
      </c>
      <c r="F389" s="56">
        <v>0</v>
      </c>
      <c r="G389" s="148">
        <v>17700</v>
      </c>
      <c r="H389" s="171">
        <f aca="true" t="shared" si="18" ref="H389:H398">G389/D389</f>
        <v>0.9838252459563115</v>
      </c>
    </row>
    <row r="390" spans="1:8" ht="12.75">
      <c r="A390" s="204"/>
      <c r="B390" s="10">
        <v>4040</v>
      </c>
      <c r="C390" s="14" t="s">
        <v>248</v>
      </c>
      <c r="D390" s="44">
        <v>0</v>
      </c>
      <c r="E390" s="56"/>
      <c r="F390" s="56"/>
      <c r="G390" s="148">
        <v>1500</v>
      </c>
      <c r="H390" s="171"/>
    </row>
    <row r="391" spans="1:8" ht="13.5" customHeight="1">
      <c r="A391" s="204"/>
      <c r="B391" s="10">
        <v>4110</v>
      </c>
      <c r="C391" s="14" t="s">
        <v>201</v>
      </c>
      <c r="D391" s="44">
        <v>3273</v>
      </c>
      <c r="E391" s="56">
        <v>0</v>
      </c>
      <c r="F391" s="56">
        <v>0</v>
      </c>
      <c r="G391" s="148">
        <v>3500</v>
      </c>
      <c r="H391" s="171">
        <f t="shared" si="18"/>
        <v>1.0693553315001527</v>
      </c>
    </row>
    <row r="392" spans="1:8" ht="12.75">
      <c r="A392" s="204"/>
      <c r="B392" s="10">
        <v>4120</v>
      </c>
      <c r="C392" s="14" t="s">
        <v>142</v>
      </c>
      <c r="D392" s="44">
        <v>441</v>
      </c>
      <c r="E392" s="56">
        <v>0</v>
      </c>
      <c r="F392" s="56">
        <v>0</v>
      </c>
      <c r="G392" s="148">
        <v>500</v>
      </c>
      <c r="H392" s="171">
        <f t="shared" si="18"/>
        <v>1.1337868480725624</v>
      </c>
    </row>
    <row r="393" spans="1:8" ht="12.75">
      <c r="A393" s="204"/>
      <c r="B393" s="10">
        <v>4170</v>
      </c>
      <c r="C393" s="14" t="s">
        <v>205</v>
      </c>
      <c r="D393" s="44">
        <v>9000</v>
      </c>
      <c r="E393" s="56">
        <v>0</v>
      </c>
      <c r="F393" s="56">
        <v>0</v>
      </c>
      <c r="G393" s="148">
        <v>8800</v>
      </c>
      <c r="H393" s="171">
        <f t="shared" si="18"/>
        <v>0.9777777777777777</v>
      </c>
    </row>
    <row r="394" spans="1:8" ht="12.75">
      <c r="A394" s="204"/>
      <c r="B394" s="10">
        <v>4210</v>
      </c>
      <c r="C394" s="14" t="s">
        <v>67</v>
      </c>
      <c r="D394" s="44">
        <v>4415</v>
      </c>
      <c r="E394" s="56"/>
      <c r="F394" s="56"/>
      <c r="G394" s="148">
        <v>4500</v>
      </c>
      <c r="H394" s="171">
        <f t="shared" si="18"/>
        <v>1.0192525481313703</v>
      </c>
    </row>
    <row r="395" spans="1:8" ht="12.75">
      <c r="A395" s="204"/>
      <c r="B395" s="10">
        <v>4300</v>
      </c>
      <c r="C395" s="11" t="s">
        <v>82</v>
      </c>
      <c r="D395" s="12">
        <v>31800</v>
      </c>
      <c r="E395" s="56">
        <v>0</v>
      </c>
      <c r="F395" s="56">
        <v>0</v>
      </c>
      <c r="G395" s="148">
        <v>9500</v>
      </c>
      <c r="H395" s="171">
        <f t="shared" si="18"/>
        <v>0.29874213836477986</v>
      </c>
    </row>
    <row r="396" spans="1:8" ht="12.75">
      <c r="A396" s="204"/>
      <c r="B396" s="60">
        <v>4350</v>
      </c>
      <c r="C396" s="61" t="s">
        <v>209</v>
      </c>
      <c r="D396" s="62">
        <v>80</v>
      </c>
      <c r="E396" s="57">
        <v>0</v>
      </c>
      <c r="F396" s="57">
        <v>0</v>
      </c>
      <c r="G396" s="149">
        <v>200</v>
      </c>
      <c r="H396" s="197">
        <f>G396/D396</f>
        <v>2.5</v>
      </c>
    </row>
    <row r="397" spans="1:8" ht="13.5" thickBot="1">
      <c r="A397" s="259"/>
      <c r="B397" s="60">
        <v>4440</v>
      </c>
      <c r="C397" s="61" t="s">
        <v>72</v>
      </c>
      <c r="D397" s="62">
        <v>0</v>
      </c>
      <c r="E397" s="57"/>
      <c r="F397" s="57"/>
      <c r="G397" s="149">
        <v>800</v>
      </c>
      <c r="H397" s="173"/>
    </row>
    <row r="398" spans="1:8" ht="15" thickBot="1" thickTop="1">
      <c r="A398" s="211" t="s">
        <v>41</v>
      </c>
      <c r="B398" s="212"/>
      <c r="C398" s="212"/>
      <c r="D398" s="63">
        <f>SUM(D389:D397)</f>
        <v>67000</v>
      </c>
      <c r="E398" s="63" t="e">
        <f>SUM(E389:E397)-#REF!</f>
        <v>#REF!</v>
      </c>
      <c r="F398" s="63" t="e">
        <f>SUM(F389:F397)-#REF!</f>
        <v>#REF!</v>
      </c>
      <c r="G398" s="139">
        <f>SUM(G389:G397)</f>
        <v>47000</v>
      </c>
      <c r="H398" s="174">
        <f t="shared" si="18"/>
        <v>0.7014925373134329</v>
      </c>
    </row>
    <row r="399" spans="1:8" ht="15" customHeight="1" thickTop="1">
      <c r="A399" s="218">
        <v>85324</v>
      </c>
      <c r="B399" s="224" t="s">
        <v>86</v>
      </c>
      <c r="C399" s="225"/>
      <c r="D399" s="225"/>
      <c r="E399" s="225"/>
      <c r="F399" s="225"/>
      <c r="G399" s="225"/>
      <c r="H399" s="226"/>
    </row>
    <row r="400" spans="1:8" ht="15" customHeight="1">
      <c r="A400" s="216"/>
      <c r="B400" s="10">
        <v>4210</v>
      </c>
      <c r="C400" s="11" t="s">
        <v>67</v>
      </c>
      <c r="D400" s="12">
        <v>12390</v>
      </c>
      <c r="E400" s="56">
        <v>0</v>
      </c>
      <c r="F400" s="56">
        <v>0</v>
      </c>
      <c r="G400" s="148">
        <v>0</v>
      </c>
      <c r="H400" s="176">
        <f>G400/D400</f>
        <v>0</v>
      </c>
    </row>
    <row r="401" spans="1:8" ht="15" customHeight="1">
      <c r="A401" s="216"/>
      <c r="B401" s="10">
        <v>4270</v>
      </c>
      <c r="C401" s="11" t="s">
        <v>82</v>
      </c>
      <c r="D401" s="12">
        <v>0</v>
      </c>
      <c r="E401" s="56"/>
      <c r="F401" s="56"/>
      <c r="G401" s="148">
        <v>0</v>
      </c>
      <c r="H401" s="176"/>
    </row>
    <row r="402" spans="1:8" ht="15" customHeight="1">
      <c r="A402" s="216"/>
      <c r="B402" s="10">
        <v>4300</v>
      </c>
      <c r="C402" s="11" t="s">
        <v>62</v>
      </c>
      <c r="D402" s="12">
        <v>5000</v>
      </c>
      <c r="E402" s="56">
        <v>0</v>
      </c>
      <c r="F402" s="56">
        <v>0</v>
      </c>
      <c r="G402" s="148">
        <v>0</v>
      </c>
      <c r="H402" s="176">
        <f>G402/D402</f>
        <v>0</v>
      </c>
    </row>
    <row r="403" spans="1:8" ht="15" customHeight="1" thickBot="1">
      <c r="A403" s="216"/>
      <c r="B403" s="10">
        <v>4410</v>
      </c>
      <c r="C403" s="11" t="s">
        <v>126</v>
      </c>
      <c r="D403" s="12">
        <v>1610</v>
      </c>
      <c r="E403" s="56">
        <v>0</v>
      </c>
      <c r="F403" s="56">
        <v>0</v>
      </c>
      <c r="G403" s="148">
        <v>0</v>
      </c>
      <c r="H403" s="178">
        <f>G403/D403</f>
        <v>0</v>
      </c>
    </row>
    <row r="404" spans="1:8" ht="15" thickBot="1" thickTop="1">
      <c r="A404" s="211" t="s">
        <v>204</v>
      </c>
      <c r="B404" s="212"/>
      <c r="C404" s="212"/>
      <c r="D404" s="63">
        <f>SUM(D400:D403)</f>
        <v>19000</v>
      </c>
      <c r="E404" s="63">
        <f>SUM(E400:E403)</f>
        <v>0</v>
      </c>
      <c r="F404" s="63">
        <f>SUM(F400:F403)</f>
        <v>0</v>
      </c>
      <c r="G404" s="139">
        <f>SUM(G400:G403)</f>
        <v>0</v>
      </c>
      <c r="H404" s="174">
        <f>G404/D404</f>
        <v>0</v>
      </c>
    </row>
    <row r="405" spans="1:8" ht="14.25" thickTop="1">
      <c r="A405" s="203">
        <v>85333</v>
      </c>
      <c r="B405" s="224" t="s">
        <v>42</v>
      </c>
      <c r="C405" s="225"/>
      <c r="D405" s="225"/>
      <c r="E405" s="225"/>
      <c r="F405" s="225"/>
      <c r="G405" s="225"/>
      <c r="H405" s="226"/>
    </row>
    <row r="406" spans="1:8" ht="24">
      <c r="A406" s="204"/>
      <c r="B406" s="10">
        <v>4010</v>
      </c>
      <c r="C406" s="11" t="s">
        <v>64</v>
      </c>
      <c r="D406" s="12">
        <v>567672</v>
      </c>
      <c r="E406" s="56">
        <v>0</v>
      </c>
      <c r="F406" s="56">
        <v>0</v>
      </c>
      <c r="G406" s="145">
        <v>838800</v>
      </c>
      <c r="H406" s="176">
        <f>G406/D406</f>
        <v>1.4776138333403797</v>
      </c>
    </row>
    <row r="407" spans="1:8" ht="24">
      <c r="A407" s="204"/>
      <c r="B407" s="10">
        <v>4018</v>
      </c>
      <c r="C407" s="11" t="s">
        <v>64</v>
      </c>
      <c r="D407" s="12">
        <v>21325</v>
      </c>
      <c r="E407" s="56">
        <v>0</v>
      </c>
      <c r="F407" s="56">
        <v>0</v>
      </c>
      <c r="G407" s="145">
        <v>28700</v>
      </c>
      <c r="H407" s="176">
        <f aca="true" t="shared" si="19" ref="H407:H425">G407/D407</f>
        <v>1.3458382180539272</v>
      </c>
    </row>
    <row r="408" spans="1:8" ht="24">
      <c r="A408" s="204"/>
      <c r="B408" s="10">
        <v>4019</v>
      </c>
      <c r="C408" s="11" t="s">
        <v>64</v>
      </c>
      <c r="D408" s="12">
        <v>7827</v>
      </c>
      <c r="E408" s="56">
        <v>0</v>
      </c>
      <c r="F408" s="56">
        <v>0</v>
      </c>
      <c r="G408" s="145">
        <v>10500</v>
      </c>
      <c r="H408" s="176">
        <f t="shared" si="19"/>
        <v>1.3415101571483328</v>
      </c>
    </row>
    <row r="409" spans="1:8" ht="12.75">
      <c r="A409" s="204"/>
      <c r="B409" s="10">
        <v>4040</v>
      </c>
      <c r="C409" s="11" t="s">
        <v>85</v>
      </c>
      <c r="D409" s="12">
        <v>52228</v>
      </c>
      <c r="E409" s="56">
        <v>0</v>
      </c>
      <c r="F409" s="56">
        <v>0</v>
      </c>
      <c r="G409" s="145">
        <v>58700</v>
      </c>
      <c r="H409" s="176">
        <f t="shared" si="19"/>
        <v>1.1239182047943632</v>
      </c>
    </row>
    <row r="410" spans="1:8" ht="12.75">
      <c r="A410" s="204"/>
      <c r="B410" s="10">
        <v>4048</v>
      </c>
      <c r="C410" s="11" t="s">
        <v>85</v>
      </c>
      <c r="D410" s="12">
        <v>0</v>
      </c>
      <c r="E410" s="56"/>
      <c r="F410" s="56"/>
      <c r="G410" s="145">
        <v>2300</v>
      </c>
      <c r="H410" s="176"/>
    </row>
    <row r="411" spans="1:8" ht="12.75">
      <c r="A411" s="204"/>
      <c r="B411" s="10">
        <v>4049</v>
      </c>
      <c r="C411" s="11" t="s">
        <v>85</v>
      </c>
      <c r="D411" s="12">
        <v>0</v>
      </c>
      <c r="E411" s="56"/>
      <c r="F411" s="56"/>
      <c r="G411" s="145">
        <v>900</v>
      </c>
      <c r="H411" s="176"/>
    </row>
    <row r="412" spans="1:8" ht="14.25" customHeight="1">
      <c r="A412" s="204"/>
      <c r="B412" s="10">
        <v>4110</v>
      </c>
      <c r="C412" s="11" t="s">
        <v>84</v>
      </c>
      <c r="D412" s="12">
        <v>106800</v>
      </c>
      <c r="E412" s="56">
        <v>0</v>
      </c>
      <c r="F412" s="56">
        <v>0</v>
      </c>
      <c r="G412" s="145">
        <v>154700</v>
      </c>
      <c r="H412" s="176">
        <f t="shared" si="19"/>
        <v>1.448501872659176</v>
      </c>
    </row>
    <row r="413" spans="1:8" ht="12.75" customHeight="1">
      <c r="A413" s="204"/>
      <c r="B413" s="10">
        <v>4118</v>
      </c>
      <c r="C413" s="11" t="s">
        <v>84</v>
      </c>
      <c r="D413" s="12">
        <v>3674</v>
      </c>
      <c r="E413" s="56">
        <v>0</v>
      </c>
      <c r="F413" s="56">
        <v>0</v>
      </c>
      <c r="G413" s="145">
        <v>5300</v>
      </c>
      <c r="H413" s="176">
        <f t="shared" si="19"/>
        <v>1.4425694066412629</v>
      </c>
    </row>
    <row r="414" spans="1:8" ht="12.75" customHeight="1">
      <c r="A414" s="204"/>
      <c r="B414" s="10">
        <v>4119</v>
      </c>
      <c r="C414" s="11" t="s">
        <v>84</v>
      </c>
      <c r="D414" s="12">
        <v>1349</v>
      </c>
      <c r="E414" s="56">
        <v>0</v>
      </c>
      <c r="F414" s="56">
        <v>0</v>
      </c>
      <c r="G414" s="145">
        <v>2000</v>
      </c>
      <c r="H414" s="176">
        <f t="shared" si="19"/>
        <v>1.4825796886582654</v>
      </c>
    </row>
    <row r="415" spans="1:8" ht="12.75">
      <c r="A415" s="204"/>
      <c r="B415" s="10">
        <v>4120</v>
      </c>
      <c r="C415" s="11" t="s">
        <v>83</v>
      </c>
      <c r="D415" s="12">
        <v>19500</v>
      </c>
      <c r="E415" s="56">
        <v>0</v>
      </c>
      <c r="F415" s="56">
        <v>0</v>
      </c>
      <c r="G415" s="145">
        <v>22000</v>
      </c>
      <c r="H415" s="176">
        <f t="shared" si="19"/>
        <v>1.1282051282051282</v>
      </c>
    </row>
    <row r="416" spans="1:8" ht="12.75">
      <c r="A416" s="204"/>
      <c r="B416" s="10">
        <v>4128</v>
      </c>
      <c r="C416" s="11" t="s">
        <v>83</v>
      </c>
      <c r="D416" s="12">
        <v>522</v>
      </c>
      <c r="E416" s="56">
        <v>0</v>
      </c>
      <c r="F416" s="56">
        <v>0</v>
      </c>
      <c r="G416" s="145">
        <v>800</v>
      </c>
      <c r="H416" s="176">
        <f t="shared" si="19"/>
        <v>1.5325670498084292</v>
      </c>
    </row>
    <row r="417" spans="1:8" ht="12.75">
      <c r="A417" s="204"/>
      <c r="B417" s="10">
        <v>4129</v>
      </c>
      <c r="C417" s="11" t="s">
        <v>83</v>
      </c>
      <c r="D417" s="12">
        <v>192</v>
      </c>
      <c r="E417" s="56">
        <v>0</v>
      </c>
      <c r="F417" s="56">
        <v>0</v>
      </c>
      <c r="G417" s="145">
        <v>300</v>
      </c>
      <c r="H417" s="176">
        <f t="shared" si="19"/>
        <v>1.5625</v>
      </c>
    </row>
    <row r="418" spans="1:8" ht="12.75">
      <c r="A418" s="204"/>
      <c r="B418" s="10">
        <v>4210</v>
      </c>
      <c r="C418" s="11" t="s">
        <v>67</v>
      </c>
      <c r="D418" s="12">
        <v>31401</v>
      </c>
      <c r="E418" s="56">
        <v>0</v>
      </c>
      <c r="F418" s="56">
        <v>0</v>
      </c>
      <c r="G418" s="145">
        <v>33000</v>
      </c>
      <c r="H418" s="176">
        <f t="shared" si="19"/>
        <v>1.0509219451609821</v>
      </c>
    </row>
    <row r="419" spans="1:8" ht="12.75">
      <c r="A419" s="204"/>
      <c r="B419" s="10">
        <v>4260</v>
      </c>
      <c r="C419" s="11" t="s">
        <v>68</v>
      </c>
      <c r="D419" s="12">
        <v>17000</v>
      </c>
      <c r="E419" s="56">
        <v>0</v>
      </c>
      <c r="F419" s="56">
        <v>0</v>
      </c>
      <c r="G419" s="145">
        <v>18000</v>
      </c>
      <c r="H419" s="176">
        <f t="shared" si="19"/>
        <v>1.0588235294117647</v>
      </c>
    </row>
    <row r="420" spans="1:8" ht="12.75">
      <c r="A420" s="204"/>
      <c r="B420" s="10">
        <v>4280</v>
      </c>
      <c r="C420" s="11" t="s">
        <v>243</v>
      </c>
      <c r="D420" s="12">
        <v>1000</v>
      </c>
      <c r="E420" s="56">
        <v>0</v>
      </c>
      <c r="F420" s="56">
        <v>0</v>
      </c>
      <c r="G420" s="145">
        <v>1000</v>
      </c>
      <c r="H420" s="176">
        <f t="shared" si="19"/>
        <v>1</v>
      </c>
    </row>
    <row r="421" spans="1:8" ht="12.75">
      <c r="A421" s="204"/>
      <c r="B421" s="10">
        <v>4300</v>
      </c>
      <c r="C421" s="11" t="s">
        <v>62</v>
      </c>
      <c r="D421" s="12">
        <v>40700</v>
      </c>
      <c r="E421" s="56">
        <v>0</v>
      </c>
      <c r="F421" s="56">
        <v>0</v>
      </c>
      <c r="G421" s="145">
        <v>51000</v>
      </c>
      <c r="H421" s="176">
        <f t="shared" si="19"/>
        <v>1.253071253071253</v>
      </c>
    </row>
    <row r="422" spans="1:8" ht="12.75">
      <c r="A422" s="204"/>
      <c r="B422" s="10">
        <v>4410</v>
      </c>
      <c r="C422" s="11" t="s">
        <v>70</v>
      </c>
      <c r="D422" s="12">
        <v>1900</v>
      </c>
      <c r="E422" s="56">
        <v>0</v>
      </c>
      <c r="F422" s="56">
        <v>0</v>
      </c>
      <c r="G422" s="145">
        <v>1900</v>
      </c>
      <c r="H422" s="176">
        <f t="shared" si="19"/>
        <v>1</v>
      </c>
    </row>
    <row r="423" spans="1:8" ht="12.75">
      <c r="A423" s="204"/>
      <c r="B423" s="10">
        <v>4430</v>
      </c>
      <c r="C423" s="11" t="s">
        <v>81</v>
      </c>
      <c r="D423" s="12">
        <v>3557</v>
      </c>
      <c r="E423" s="56">
        <v>0</v>
      </c>
      <c r="F423" s="56">
        <v>0</v>
      </c>
      <c r="G423" s="145">
        <v>5000</v>
      </c>
      <c r="H423" s="176">
        <f t="shared" si="19"/>
        <v>1.405678942929435</v>
      </c>
    </row>
    <row r="424" spans="1:8" ht="12.75">
      <c r="A424" s="204"/>
      <c r="B424" s="10">
        <v>4440</v>
      </c>
      <c r="C424" s="11" t="s">
        <v>72</v>
      </c>
      <c r="D424" s="12">
        <v>27864</v>
      </c>
      <c r="E424" s="56">
        <v>0</v>
      </c>
      <c r="F424" s="56">
        <v>0</v>
      </c>
      <c r="G424" s="145">
        <v>30105</v>
      </c>
      <c r="H424" s="176">
        <f t="shared" si="19"/>
        <v>1.0804263565891472</v>
      </c>
    </row>
    <row r="425" spans="1:8" ht="24.75" thickBot="1">
      <c r="A425" s="223"/>
      <c r="B425" s="64">
        <v>6060</v>
      </c>
      <c r="C425" s="65" t="s">
        <v>223</v>
      </c>
      <c r="D425" s="106">
        <v>43678</v>
      </c>
      <c r="E425" s="67">
        <v>0</v>
      </c>
      <c r="F425" s="67">
        <v>0</v>
      </c>
      <c r="G425" s="147">
        <v>0</v>
      </c>
      <c r="H425" s="178">
        <f t="shared" si="19"/>
        <v>0</v>
      </c>
    </row>
    <row r="426" spans="1:8" ht="15" thickBot="1" thickTop="1">
      <c r="A426" s="211" t="s">
        <v>43</v>
      </c>
      <c r="B426" s="212"/>
      <c r="C426" s="212"/>
      <c r="D426" s="63">
        <f>SUM(D406:D425)</f>
        <v>948189</v>
      </c>
      <c r="E426" s="63" t="e">
        <f>SUM(E406:E425)-#REF!</f>
        <v>#REF!</v>
      </c>
      <c r="F426" s="63" t="e">
        <f>SUM(F406:F425)-#REF!</f>
        <v>#REF!</v>
      </c>
      <c r="G426" s="139">
        <f>SUM(G406:G425)</f>
        <v>1265005</v>
      </c>
      <c r="H426" s="174">
        <f>G426/D426</f>
        <v>1.3341274788043311</v>
      </c>
    </row>
    <row r="427" spans="1:8" ht="14.25" thickTop="1">
      <c r="A427" s="215">
        <v>85334</v>
      </c>
      <c r="B427" s="224" t="s">
        <v>188</v>
      </c>
      <c r="C427" s="225"/>
      <c r="D427" s="225"/>
      <c r="E427" s="225"/>
      <c r="F427" s="225"/>
      <c r="G427" s="225"/>
      <c r="H427" s="226"/>
    </row>
    <row r="428" spans="1:8" ht="24">
      <c r="A428" s="216"/>
      <c r="B428" s="10">
        <v>4010</v>
      </c>
      <c r="C428" s="11" t="s">
        <v>64</v>
      </c>
      <c r="D428" s="12">
        <v>5991</v>
      </c>
      <c r="E428" s="56">
        <v>0</v>
      </c>
      <c r="F428" s="56">
        <v>0</v>
      </c>
      <c r="G428" s="145">
        <v>0</v>
      </c>
      <c r="H428" s="176">
        <f aca="true" t="shared" si="20" ref="H428:H433">G428/D428</f>
        <v>0</v>
      </c>
    </row>
    <row r="429" spans="1:8" ht="12.75">
      <c r="A429" s="216"/>
      <c r="B429" s="10">
        <v>4040</v>
      </c>
      <c r="C429" s="11" t="s">
        <v>85</v>
      </c>
      <c r="D429" s="12">
        <v>1575</v>
      </c>
      <c r="E429" s="56">
        <v>0</v>
      </c>
      <c r="F429" s="56">
        <v>0</v>
      </c>
      <c r="G429" s="145">
        <v>0</v>
      </c>
      <c r="H429" s="176">
        <f t="shared" si="20"/>
        <v>0</v>
      </c>
    </row>
    <row r="430" spans="1:8" ht="24">
      <c r="A430" s="216"/>
      <c r="B430" s="10">
        <v>4110</v>
      </c>
      <c r="C430" s="11" t="s">
        <v>84</v>
      </c>
      <c r="D430" s="12">
        <v>1147</v>
      </c>
      <c r="E430" s="56">
        <v>0</v>
      </c>
      <c r="F430" s="56">
        <v>0</v>
      </c>
      <c r="G430" s="145">
        <v>0</v>
      </c>
      <c r="H430" s="176">
        <f t="shared" si="20"/>
        <v>0</v>
      </c>
    </row>
    <row r="431" spans="1:8" ht="12.75">
      <c r="A431" s="216"/>
      <c r="B431" s="10">
        <v>4120</v>
      </c>
      <c r="C431" s="11" t="s">
        <v>83</v>
      </c>
      <c r="D431" s="12">
        <v>156</v>
      </c>
      <c r="E431" s="56">
        <v>0</v>
      </c>
      <c r="F431" s="56">
        <v>0</v>
      </c>
      <c r="G431" s="145">
        <v>0</v>
      </c>
      <c r="H431" s="176">
        <f t="shared" si="20"/>
        <v>0</v>
      </c>
    </row>
    <row r="432" spans="1:8" ht="13.5" thickBot="1">
      <c r="A432" s="217"/>
      <c r="B432" s="64">
        <v>4440</v>
      </c>
      <c r="C432" s="65" t="s">
        <v>72</v>
      </c>
      <c r="D432" s="106">
        <v>100</v>
      </c>
      <c r="E432" s="67">
        <v>0</v>
      </c>
      <c r="F432" s="67">
        <v>0</v>
      </c>
      <c r="G432" s="147">
        <v>0</v>
      </c>
      <c r="H432" s="178">
        <f t="shared" si="20"/>
        <v>0</v>
      </c>
    </row>
    <row r="433" spans="1:8" ht="15" thickBot="1" thickTop="1">
      <c r="A433" s="211" t="s">
        <v>191</v>
      </c>
      <c r="B433" s="212"/>
      <c r="C433" s="212"/>
      <c r="D433" s="63">
        <f>SUM(D428:D432)</f>
        <v>8969</v>
      </c>
      <c r="E433" s="63">
        <f>SUM(E428:E432)</f>
        <v>0</v>
      </c>
      <c r="F433" s="63">
        <f>SUM(F428:F432)</f>
        <v>0</v>
      </c>
      <c r="G433" s="63">
        <f>SUM(G428:G432)</f>
        <v>0</v>
      </c>
      <c r="H433" s="174">
        <f t="shared" si="20"/>
        <v>0</v>
      </c>
    </row>
    <row r="434" spans="1:8" ht="15" customHeight="1" thickTop="1">
      <c r="A434" s="218">
        <v>85395</v>
      </c>
      <c r="B434" s="224" t="s">
        <v>58</v>
      </c>
      <c r="C434" s="225"/>
      <c r="D434" s="225"/>
      <c r="E434" s="225"/>
      <c r="F434" s="225"/>
      <c r="G434" s="225"/>
      <c r="H434" s="226"/>
    </row>
    <row r="435" spans="1:8" ht="12.75">
      <c r="A435" s="204"/>
      <c r="B435" s="10">
        <v>3118</v>
      </c>
      <c r="C435" s="11" t="s">
        <v>113</v>
      </c>
      <c r="D435" s="12">
        <v>0</v>
      </c>
      <c r="E435" s="56">
        <v>0</v>
      </c>
      <c r="F435" s="56">
        <v>0</v>
      </c>
      <c r="G435" s="145">
        <v>165405</v>
      </c>
      <c r="H435" s="176"/>
    </row>
    <row r="436" spans="1:8" ht="12.75">
      <c r="A436" s="204"/>
      <c r="B436" s="10">
        <v>3119</v>
      </c>
      <c r="C436" s="11" t="s">
        <v>113</v>
      </c>
      <c r="D436" s="12">
        <v>0</v>
      </c>
      <c r="E436" s="56">
        <v>0</v>
      </c>
      <c r="F436" s="56">
        <v>0</v>
      </c>
      <c r="G436" s="145">
        <v>41351</v>
      </c>
      <c r="H436" s="176"/>
    </row>
    <row r="437" spans="1:8" ht="15.75" customHeight="1">
      <c r="A437" s="204"/>
      <c r="B437" s="10">
        <v>4118</v>
      </c>
      <c r="C437" s="11" t="s">
        <v>201</v>
      </c>
      <c r="D437" s="12">
        <v>0</v>
      </c>
      <c r="E437" s="56">
        <v>0</v>
      </c>
      <c r="F437" s="56">
        <v>0</v>
      </c>
      <c r="G437" s="145">
        <v>49499</v>
      </c>
      <c r="H437" s="176"/>
    </row>
    <row r="438" spans="1:8" ht="15" customHeight="1">
      <c r="A438" s="204"/>
      <c r="B438" s="10">
        <v>4119</v>
      </c>
      <c r="C438" s="11" t="s">
        <v>201</v>
      </c>
      <c r="D438" s="12">
        <v>0</v>
      </c>
      <c r="E438" s="56">
        <v>0</v>
      </c>
      <c r="F438" s="56">
        <v>0</v>
      </c>
      <c r="G438" s="145">
        <v>12375</v>
      </c>
      <c r="H438" s="176"/>
    </row>
    <row r="439" spans="1:8" ht="12.75">
      <c r="A439" s="204"/>
      <c r="B439" s="10">
        <v>4218</v>
      </c>
      <c r="C439" s="11" t="s">
        <v>262</v>
      </c>
      <c r="D439" s="12">
        <v>0</v>
      </c>
      <c r="E439" s="56">
        <v>0</v>
      </c>
      <c r="F439" s="56">
        <v>0</v>
      </c>
      <c r="G439" s="145">
        <v>174</v>
      </c>
      <c r="H439" s="176"/>
    </row>
    <row r="440" spans="1:8" ht="12.75">
      <c r="A440" s="204"/>
      <c r="B440" s="10">
        <v>4219</v>
      </c>
      <c r="C440" s="11" t="s">
        <v>262</v>
      </c>
      <c r="D440" s="12">
        <v>0</v>
      </c>
      <c r="E440" s="56">
        <v>0</v>
      </c>
      <c r="F440" s="56">
        <v>0</v>
      </c>
      <c r="G440" s="145">
        <v>44</v>
      </c>
      <c r="H440" s="176"/>
    </row>
    <row r="441" spans="1:8" ht="12.75">
      <c r="A441" s="204"/>
      <c r="B441" s="10">
        <v>4288</v>
      </c>
      <c r="C441" s="11" t="s">
        <v>104</v>
      </c>
      <c r="D441" s="12">
        <v>0</v>
      </c>
      <c r="E441" s="56"/>
      <c r="F441" s="56"/>
      <c r="G441" s="145">
        <v>2544</v>
      </c>
      <c r="H441" s="176"/>
    </row>
    <row r="442" spans="1:8" ht="12.75">
      <c r="A442" s="204"/>
      <c r="B442" s="10">
        <v>4289</v>
      </c>
      <c r="C442" s="11" t="s">
        <v>104</v>
      </c>
      <c r="D442" s="12">
        <v>0</v>
      </c>
      <c r="E442" s="56"/>
      <c r="F442" s="56"/>
      <c r="G442" s="145">
        <v>636</v>
      </c>
      <c r="H442" s="176"/>
    </row>
    <row r="443" spans="1:8" ht="12.75">
      <c r="A443" s="204"/>
      <c r="B443" s="10">
        <v>4308</v>
      </c>
      <c r="C443" s="11" t="s">
        <v>82</v>
      </c>
      <c r="D443" s="12">
        <v>0</v>
      </c>
      <c r="E443" s="56"/>
      <c r="F443" s="56"/>
      <c r="G443" s="145">
        <v>5114</v>
      </c>
      <c r="H443" s="176"/>
    </row>
    <row r="444" spans="1:8" ht="12.75">
      <c r="A444" s="204"/>
      <c r="B444" s="60">
        <v>4309</v>
      </c>
      <c r="C444" s="11" t="s">
        <v>82</v>
      </c>
      <c r="D444" s="62">
        <v>0</v>
      </c>
      <c r="E444" s="57"/>
      <c r="F444" s="57"/>
      <c r="G444" s="138">
        <v>1278</v>
      </c>
      <c r="H444" s="177"/>
    </row>
    <row r="445" spans="1:8" ht="15" customHeight="1" thickBot="1">
      <c r="A445" s="219"/>
      <c r="B445" s="111">
        <v>4300</v>
      </c>
      <c r="C445" s="112" t="s">
        <v>62</v>
      </c>
      <c r="D445" s="113">
        <v>10000</v>
      </c>
      <c r="E445" s="113">
        <v>0</v>
      </c>
      <c r="F445" s="113">
        <v>0</v>
      </c>
      <c r="G445" s="138">
        <v>0</v>
      </c>
      <c r="H445" s="178">
        <f>G445/D445</f>
        <v>0</v>
      </c>
    </row>
    <row r="446" spans="1:8" ht="15" thickBot="1" thickTop="1">
      <c r="A446" s="211" t="s">
        <v>222</v>
      </c>
      <c r="B446" s="212"/>
      <c r="C446" s="212"/>
      <c r="D446" s="63">
        <f>SUM(D435:D445)</f>
        <v>10000</v>
      </c>
      <c r="E446" s="63">
        <f>SUM(E435:E445)</f>
        <v>0</v>
      </c>
      <c r="F446" s="63">
        <f>SUM(F435:F445)</f>
        <v>0</v>
      </c>
      <c r="G446" s="63">
        <f>SUM(G435:G445)</f>
        <v>278420</v>
      </c>
      <c r="H446" s="174">
        <f>G446/D446</f>
        <v>27.842</v>
      </c>
    </row>
    <row r="447" spans="1:8" ht="16.5" thickBot="1" thickTop="1">
      <c r="A447" s="213" t="s">
        <v>44</v>
      </c>
      <c r="B447" s="214"/>
      <c r="C447" s="214"/>
      <c r="D447" s="51">
        <f>D398+D404+D446+D426+D433</f>
        <v>1053158</v>
      </c>
      <c r="E447" s="51" t="e">
        <f>E398+E404+E446+E426+E433</f>
        <v>#REF!</v>
      </c>
      <c r="F447" s="51" t="e">
        <f>F398+F404+F446+F426+F433</f>
        <v>#REF!</v>
      </c>
      <c r="G447" s="140">
        <f>G398+G404+G446+G426+G433</f>
        <v>1590425</v>
      </c>
      <c r="H447" s="175">
        <f>G447/D447</f>
        <v>1.5101485247227862</v>
      </c>
    </row>
    <row r="448" spans="1:8" ht="21.75" customHeight="1" thickBot="1" thickTop="1">
      <c r="A448" s="200" t="s">
        <v>48</v>
      </c>
      <c r="B448" s="201"/>
      <c r="C448" s="201"/>
      <c r="D448" s="201"/>
      <c r="E448" s="201"/>
      <c r="F448" s="201"/>
      <c r="G448" s="201"/>
      <c r="H448" s="202"/>
    </row>
    <row r="449" spans="1:8" ht="15" customHeight="1" thickTop="1">
      <c r="A449" s="218">
        <v>85406</v>
      </c>
      <c r="B449" s="224" t="s">
        <v>114</v>
      </c>
      <c r="C449" s="225"/>
      <c r="D449" s="225"/>
      <c r="E449" s="225"/>
      <c r="F449" s="225"/>
      <c r="G449" s="225"/>
      <c r="H449" s="226"/>
    </row>
    <row r="450" spans="1:8" ht="24">
      <c r="A450" s="216"/>
      <c r="B450" s="13">
        <v>3020</v>
      </c>
      <c r="C450" s="11" t="s">
        <v>216</v>
      </c>
      <c r="D450" s="12">
        <v>800</v>
      </c>
      <c r="E450" s="56">
        <v>0</v>
      </c>
      <c r="F450" s="56">
        <v>0</v>
      </c>
      <c r="G450" s="145">
        <v>800</v>
      </c>
      <c r="H450" s="176">
        <f>G450/D450</f>
        <v>1</v>
      </c>
    </row>
    <row r="451" spans="1:8" ht="24">
      <c r="A451" s="216"/>
      <c r="B451" s="13">
        <v>3030</v>
      </c>
      <c r="C451" s="11" t="s">
        <v>77</v>
      </c>
      <c r="D451" s="12">
        <v>2700</v>
      </c>
      <c r="E451" s="56">
        <v>0</v>
      </c>
      <c r="F451" s="56">
        <v>0</v>
      </c>
      <c r="G451" s="145">
        <v>5500</v>
      </c>
      <c r="H451" s="176">
        <f aca="true" t="shared" si="21" ref="H451:H464">G451/D451</f>
        <v>2.037037037037037</v>
      </c>
    </row>
    <row r="452" spans="1:8" ht="24">
      <c r="A452" s="216"/>
      <c r="B452" s="10">
        <v>4010</v>
      </c>
      <c r="C452" s="11" t="s">
        <v>64</v>
      </c>
      <c r="D452" s="12">
        <v>281886</v>
      </c>
      <c r="E452" s="56">
        <v>0</v>
      </c>
      <c r="F452" s="56">
        <v>0</v>
      </c>
      <c r="G452" s="145">
        <v>350900</v>
      </c>
      <c r="H452" s="176">
        <f t="shared" si="21"/>
        <v>1.2448294700694607</v>
      </c>
    </row>
    <row r="453" spans="1:8" ht="12.75">
      <c r="A453" s="216"/>
      <c r="B453" s="10">
        <v>4040</v>
      </c>
      <c r="C453" s="11" t="s">
        <v>85</v>
      </c>
      <c r="D453" s="12">
        <v>24500</v>
      </c>
      <c r="E453" s="56">
        <v>0</v>
      </c>
      <c r="F453" s="56">
        <v>0</v>
      </c>
      <c r="G453" s="145">
        <v>25300</v>
      </c>
      <c r="H453" s="176">
        <f t="shared" si="21"/>
        <v>1.0326530612244897</v>
      </c>
    </row>
    <row r="454" spans="1:8" ht="24">
      <c r="A454" s="216"/>
      <c r="B454" s="10">
        <v>4110</v>
      </c>
      <c r="C454" s="11" t="s">
        <v>84</v>
      </c>
      <c r="D454" s="12">
        <v>50706</v>
      </c>
      <c r="E454" s="56">
        <v>0</v>
      </c>
      <c r="F454" s="56">
        <v>0</v>
      </c>
      <c r="G454" s="145">
        <v>68900</v>
      </c>
      <c r="H454" s="176">
        <f t="shared" si="21"/>
        <v>1.3588135526367688</v>
      </c>
    </row>
    <row r="455" spans="1:8" ht="12.75">
      <c r="A455" s="216"/>
      <c r="B455" s="10">
        <v>4120</v>
      </c>
      <c r="C455" s="11" t="s">
        <v>83</v>
      </c>
      <c r="D455" s="12">
        <v>7028</v>
      </c>
      <c r="E455" s="56">
        <v>0</v>
      </c>
      <c r="F455" s="56">
        <v>0</v>
      </c>
      <c r="G455" s="145">
        <v>9500</v>
      </c>
      <c r="H455" s="176">
        <f t="shared" si="21"/>
        <v>1.3517359134889015</v>
      </c>
    </row>
    <row r="456" spans="1:8" ht="12.75">
      <c r="A456" s="216"/>
      <c r="B456" s="10">
        <v>4170</v>
      </c>
      <c r="C456" s="11" t="s">
        <v>205</v>
      </c>
      <c r="D456" s="12">
        <v>300</v>
      </c>
      <c r="E456" s="56">
        <v>0</v>
      </c>
      <c r="F456" s="56">
        <v>0</v>
      </c>
      <c r="G456" s="145">
        <v>300</v>
      </c>
      <c r="H456" s="176">
        <f t="shared" si="21"/>
        <v>1</v>
      </c>
    </row>
    <row r="457" spans="1:8" ht="12.75">
      <c r="A457" s="216"/>
      <c r="B457" s="10">
        <v>4210</v>
      </c>
      <c r="C457" s="11" t="s">
        <v>67</v>
      </c>
      <c r="D457" s="12">
        <v>11000</v>
      </c>
      <c r="E457" s="56">
        <v>0</v>
      </c>
      <c r="F457" s="56">
        <v>0</v>
      </c>
      <c r="G457" s="145">
        <v>14000</v>
      </c>
      <c r="H457" s="176">
        <f t="shared" si="21"/>
        <v>1.2727272727272727</v>
      </c>
    </row>
    <row r="458" spans="1:8" ht="12.75">
      <c r="A458" s="216"/>
      <c r="B458" s="10">
        <v>4240</v>
      </c>
      <c r="C458" s="11" t="s">
        <v>102</v>
      </c>
      <c r="D458" s="12">
        <v>900</v>
      </c>
      <c r="E458" s="56">
        <v>0</v>
      </c>
      <c r="F458" s="56">
        <v>0</v>
      </c>
      <c r="G458" s="145">
        <v>1000</v>
      </c>
      <c r="H458" s="176">
        <f t="shared" si="21"/>
        <v>1.1111111111111112</v>
      </c>
    </row>
    <row r="459" spans="1:8" ht="12.75">
      <c r="A459" s="216"/>
      <c r="B459" s="10">
        <v>4260</v>
      </c>
      <c r="C459" s="11" t="s">
        <v>132</v>
      </c>
      <c r="D459" s="12">
        <v>7000</v>
      </c>
      <c r="E459" s="56">
        <v>0</v>
      </c>
      <c r="F459" s="56">
        <v>0</v>
      </c>
      <c r="G459" s="145">
        <v>7200</v>
      </c>
      <c r="H459" s="176">
        <f t="shared" si="21"/>
        <v>1.0285714285714285</v>
      </c>
    </row>
    <row r="460" spans="1:8" ht="12.75">
      <c r="A460" s="216"/>
      <c r="B460" s="10">
        <v>4270</v>
      </c>
      <c r="C460" s="11" t="s">
        <v>133</v>
      </c>
      <c r="D460" s="12">
        <v>400</v>
      </c>
      <c r="E460" s="56">
        <v>0</v>
      </c>
      <c r="F460" s="56">
        <v>0</v>
      </c>
      <c r="G460" s="145">
        <v>600</v>
      </c>
      <c r="H460" s="176">
        <f t="shared" si="21"/>
        <v>1.5</v>
      </c>
    </row>
    <row r="461" spans="1:8" ht="12.75">
      <c r="A461" s="216"/>
      <c r="B461" s="10">
        <v>4300</v>
      </c>
      <c r="C461" s="11" t="s">
        <v>82</v>
      </c>
      <c r="D461" s="12">
        <v>6700</v>
      </c>
      <c r="E461" s="56">
        <v>0</v>
      </c>
      <c r="F461" s="56">
        <v>0</v>
      </c>
      <c r="G461" s="145">
        <v>6800</v>
      </c>
      <c r="H461" s="176">
        <f t="shared" si="21"/>
        <v>1.0149253731343284</v>
      </c>
    </row>
    <row r="462" spans="1:8" ht="12.75">
      <c r="A462" s="216"/>
      <c r="B462" s="10">
        <v>4350</v>
      </c>
      <c r="C462" s="11" t="s">
        <v>211</v>
      </c>
      <c r="D462" s="12">
        <v>1000</v>
      </c>
      <c r="E462" s="56">
        <v>0</v>
      </c>
      <c r="F462" s="56">
        <v>0</v>
      </c>
      <c r="G462" s="145">
        <v>1100</v>
      </c>
      <c r="H462" s="176">
        <f t="shared" si="21"/>
        <v>1.1</v>
      </c>
    </row>
    <row r="463" spans="1:8" ht="12.75">
      <c r="A463" s="216"/>
      <c r="B463" s="10">
        <v>4410</v>
      </c>
      <c r="C463" s="11" t="s">
        <v>70</v>
      </c>
      <c r="D463" s="12">
        <v>2400</v>
      </c>
      <c r="E463" s="56">
        <v>0</v>
      </c>
      <c r="F463" s="56">
        <v>0</v>
      </c>
      <c r="G463" s="145">
        <v>2500</v>
      </c>
      <c r="H463" s="176">
        <f t="shared" si="21"/>
        <v>1.0416666666666667</v>
      </c>
    </row>
    <row r="464" spans="1:8" ht="13.5" thickBot="1">
      <c r="A464" s="219"/>
      <c r="B464" s="60">
        <v>4440</v>
      </c>
      <c r="C464" s="61" t="s">
        <v>72</v>
      </c>
      <c r="D464" s="62">
        <v>19400</v>
      </c>
      <c r="E464" s="57">
        <v>0</v>
      </c>
      <c r="F464" s="57">
        <v>0</v>
      </c>
      <c r="G464" s="138">
        <v>19700</v>
      </c>
      <c r="H464" s="178">
        <f t="shared" si="21"/>
        <v>1.0154639175257731</v>
      </c>
    </row>
    <row r="465" spans="1:8" ht="15" thickBot="1" thickTop="1">
      <c r="A465" s="211" t="s">
        <v>115</v>
      </c>
      <c r="B465" s="212"/>
      <c r="C465" s="212"/>
      <c r="D465" s="63">
        <f>SUM(D450:D464)</f>
        <v>416720</v>
      </c>
      <c r="E465" s="63">
        <f>SUM(E450:E464)</f>
        <v>0</v>
      </c>
      <c r="F465" s="63">
        <f>SUM(F450:F464)</f>
        <v>0</v>
      </c>
      <c r="G465" s="139">
        <f>SUM(G450:G464)</f>
        <v>514100</v>
      </c>
      <c r="H465" s="174">
        <f>G465/D465</f>
        <v>1.2336820886926474</v>
      </c>
    </row>
    <row r="466" spans="1:8" ht="14.25" thickTop="1">
      <c r="A466" s="218">
        <v>85410</v>
      </c>
      <c r="B466" s="224" t="s">
        <v>16</v>
      </c>
      <c r="C466" s="225"/>
      <c r="D466" s="225"/>
      <c r="E466" s="225"/>
      <c r="F466" s="225"/>
      <c r="G466" s="225"/>
      <c r="H466" s="226"/>
    </row>
    <row r="467" spans="1:8" ht="24">
      <c r="A467" s="216"/>
      <c r="B467" s="13">
        <v>3020</v>
      </c>
      <c r="C467" s="11" t="s">
        <v>216</v>
      </c>
      <c r="D467" s="12">
        <v>7459</v>
      </c>
      <c r="E467" s="56">
        <v>0</v>
      </c>
      <c r="F467" s="56">
        <v>0</v>
      </c>
      <c r="G467" s="145">
        <v>8800</v>
      </c>
      <c r="H467" s="176">
        <f>G467/D467</f>
        <v>1.1797828127094785</v>
      </c>
    </row>
    <row r="468" spans="1:8" ht="24">
      <c r="A468" s="216"/>
      <c r="B468" s="10">
        <v>4010</v>
      </c>
      <c r="C468" s="11" t="s">
        <v>64</v>
      </c>
      <c r="D468" s="12">
        <v>410080</v>
      </c>
      <c r="E468" s="56">
        <v>0</v>
      </c>
      <c r="F468" s="56">
        <v>0</v>
      </c>
      <c r="G468" s="145">
        <v>311500</v>
      </c>
      <c r="H468" s="176">
        <f aca="true" t="shared" si="22" ref="H468:H479">G468/D468</f>
        <v>0.7596078813889973</v>
      </c>
    </row>
    <row r="469" spans="1:8" ht="12.75">
      <c r="A469" s="216"/>
      <c r="B469" s="10">
        <v>4040</v>
      </c>
      <c r="C469" s="11" t="s">
        <v>85</v>
      </c>
      <c r="D469" s="12">
        <v>27774</v>
      </c>
      <c r="E469" s="56">
        <v>0</v>
      </c>
      <c r="F469" s="56">
        <v>0</v>
      </c>
      <c r="G469" s="145">
        <v>33400</v>
      </c>
      <c r="H469" s="176">
        <f t="shared" si="22"/>
        <v>1.2025635486426154</v>
      </c>
    </row>
    <row r="470" spans="1:8" ht="24">
      <c r="A470" s="216"/>
      <c r="B470" s="10">
        <v>4110</v>
      </c>
      <c r="C470" s="11" t="s">
        <v>84</v>
      </c>
      <c r="D470" s="12">
        <v>75585</v>
      </c>
      <c r="E470" s="56">
        <v>0</v>
      </c>
      <c r="F470" s="56">
        <v>0</v>
      </c>
      <c r="G470" s="145">
        <v>60700</v>
      </c>
      <c r="H470" s="176">
        <f t="shared" si="22"/>
        <v>0.8030693920751472</v>
      </c>
    </row>
    <row r="471" spans="1:8" ht="12.75">
      <c r="A471" s="216"/>
      <c r="B471" s="10">
        <v>4120</v>
      </c>
      <c r="C471" s="11" t="s">
        <v>83</v>
      </c>
      <c r="D471" s="12">
        <v>10612</v>
      </c>
      <c r="E471" s="56">
        <v>0</v>
      </c>
      <c r="F471" s="56">
        <v>0</v>
      </c>
      <c r="G471" s="145">
        <v>8500</v>
      </c>
      <c r="H471" s="176">
        <f t="shared" si="22"/>
        <v>0.8009800226159065</v>
      </c>
    </row>
    <row r="472" spans="1:8" ht="12.75">
      <c r="A472" s="216"/>
      <c r="B472" s="10">
        <v>4210</v>
      </c>
      <c r="C472" s="11" t="s">
        <v>67</v>
      </c>
      <c r="D472" s="12">
        <v>68214</v>
      </c>
      <c r="E472" s="56">
        <v>0</v>
      </c>
      <c r="F472" s="56">
        <v>0</v>
      </c>
      <c r="G472" s="145">
        <v>49000</v>
      </c>
      <c r="H472" s="176">
        <f t="shared" si="22"/>
        <v>0.7183276160318997</v>
      </c>
    </row>
    <row r="473" spans="1:8" ht="12.75">
      <c r="A473" s="216"/>
      <c r="B473" s="10">
        <v>4230</v>
      </c>
      <c r="C473" s="11" t="s">
        <v>92</v>
      </c>
      <c r="D473" s="12">
        <v>200</v>
      </c>
      <c r="E473" s="56">
        <v>0</v>
      </c>
      <c r="F473" s="56">
        <v>0</v>
      </c>
      <c r="G473" s="145">
        <v>200</v>
      </c>
      <c r="H473" s="176">
        <f t="shared" si="22"/>
        <v>1</v>
      </c>
    </row>
    <row r="474" spans="1:8" ht="12.75">
      <c r="A474" s="216"/>
      <c r="B474" s="10">
        <v>4240</v>
      </c>
      <c r="C474" s="11" t="s">
        <v>102</v>
      </c>
      <c r="D474" s="12">
        <v>900</v>
      </c>
      <c r="E474" s="56">
        <v>0</v>
      </c>
      <c r="F474" s="56">
        <v>0</v>
      </c>
      <c r="G474" s="145">
        <v>300</v>
      </c>
      <c r="H474" s="176">
        <f t="shared" si="22"/>
        <v>0.3333333333333333</v>
      </c>
    </row>
    <row r="475" spans="1:8" ht="12.75">
      <c r="A475" s="216"/>
      <c r="B475" s="10">
        <v>4260</v>
      </c>
      <c r="C475" s="11" t="s">
        <v>68</v>
      </c>
      <c r="D475" s="12">
        <v>22800</v>
      </c>
      <c r="E475" s="56">
        <v>0</v>
      </c>
      <c r="F475" s="56">
        <v>0</v>
      </c>
      <c r="G475" s="145">
        <v>21500</v>
      </c>
      <c r="H475" s="176">
        <f t="shared" si="22"/>
        <v>0.9429824561403509</v>
      </c>
    </row>
    <row r="476" spans="1:8" ht="12.75">
      <c r="A476" s="216"/>
      <c r="B476" s="10">
        <v>4280</v>
      </c>
      <c r="C476" s="11" t="s">
        <v>104</v>
      </c>
      <c r="D476" s="12">
        <v>200</v>
      </c>
      <c r="E476" s="56">
        <v>0</v>
      </c>
      <c r="F476" s="56">
        <v>0</v>
      </c>
      <c r="G476" s="145">
        <v>100</v>
      </c>
      <c r="H476" s="176">
        <f t="shared" si="22"/>
        <v>0.5</v>
      </c>
    </row>
    <row r="477" spans="1:8" ht="12.75">
      <c r="A477" s="216"/>
      <c r="B477" s="10">
        <v>4300</v>
      </c>
      <c r="C477" s="11" t="s">
        <v>62</v>
      </c>
      <c r="D477" s="12">
        <v>8207</v>
      </c>
      <c r="E477" s="56">
        <v>0</v>
      </c>
      <c r="F477" s="56">
        <v>0</v>
      </c>
      <c r="G477" s="145">
        <v>10700</v>
      </c>
      <c r="H477" s="176">
        <f t="shared" si="22"/>
        <v>1.3037650785914463</v>
      </c>
    </row>
    <row r="478" spans="1:8" ht="12.75">
      <c r="A478" s="216"/>
      <c r="B478" s="10">
        <v>4410</v>
      </c>
      <c r="C478" s="11" t="s">
        <v>70</v>
      </c>
      <c r="D478" s="12">
        <v>200</v>
      </c>
      <c r="E478" s="56">
        <v>0</v>
      </c>
      <c r="F478" s="56">
        <v>0</v>
      </c>
      <c r="G478" s="145">
        <v>200</v>
      </c>
      <c r="H478" s="176">
        <f t="shared" si="22"/>
        <v>1</v>
      </c>
    </row>
    <row r="479" spans="1:8" ht="13.5" thickBot="1">
      <c r="A479" s="219"/>
      <c r="B479" s="60">
        <v>4440</v>
      </c>
      <c r="C479" s="61" t="s">
        <v>72</v>
      </c>
      <c r="D479" s="62">
        <v>21280</v>
      </c>
      <c r="E479" s="57">
        <v>0</v>
      </c>
      <c r="F479" s="57">
        <v>0</v>
      </c>
      <c r="G479" s="138">
        <v>16100</v>
      </c>
      <c r="H479" s="178">
        <f t="shared" si="22"/>
        <v>0.756578947368421</v>
      </c>
    </row>
    <row r="480" spans="1:8" ht="15" thickBot="1" thickTop="1">
      <c r="A480" s="211" t="s">
        <v>45</v>
      </c>
      <c r="B480" s="212"/>
      <c r="C480" s="212"/>
      <c r="D480" s="63">
        <f>SUM(D467:D479)</f>
        <v>653511</v>
      </c>
      <c r="E480" s="63">
        <f>SUM(E467:E479)</f>
        <v>0</v>
      </c>
      <c r="F480" s="63">
        <f>SUM(F467:F479)</f>
        <v>0</v>
      </c>
      <c r="G480" s="139">
        <f>SUM(G467:G479)</f>
        <v>521000</v>
      </c>
      <c r="H480" s="174">
        <f>G480/D480</f>
        <v>0.7972321812486707</v>
      </c>
    </row>
    <row r="481" spans="1:8" ht="15" customHeight="1" thickTop="1">
      <c r="A481" s="215">
        <v>85415</v>
      </c>
      <c r="B481" s="224" t="s">
        <v>59</v>
      </c>
      <c r="C481" s="225"/>
      <c r="D481" s="225"/>
      <c r="E481" s="225"/>
      <c r="F481" s="225"/>
      <c r="G481" s="225"/>
      <c r="H481" s="226"/>
    </row>
    <row r="482" spans="1:8" ht="26.25" customHeight="1">
      <c r="A482" s="216"/>
      <c r="B482" s="45" t="s">
        <v>116</v>
      </c>
      <c r="C482" s="11" t="s">
        <v>117</v>
      </c>
      <c r="D482" s="12">
        <v>23984</v>
      </c>
      <c r="E482" s="56">
        <v>0</v>
      </c>
      <c r="F482" s="56">
        <v>0</v>
      </c>
      <c r="G482" s="145">
        <v>25597</v>
      </c>
      <c r="H482" s="176">
        <f>G482/D482</f>
        <v>1.0672531687791862</v>
      </c>
    </row>
    <row r="483" spans="1:8" ht="24">
      <c r="A483" s="216"/>
      <c r="B483" s="45" t="s">
        <v>232</v>
      </c>
      <c r="C483" s="11" t="s">
        <v>117</v>
      </c>
      <c r="D483" s="12">
        <v>194410</v>
      </c>
      <c r="E483" s="56">
        <v>0</v>
      </c>
      <c r="F483" s="56">
        <v>0</v>
      </c>
      <c r="G483" s="145">
        <v>118749</v>
      </c>
      <c r="H483" s="176">
        <f aca="true" t="shared" si="23" ref="H483:H492">G483/D483</f>
        <v>0.6108173447867908</v>
      </c>
    </row>
    <row r="484" spans="1:8" ht="24.75" customHeight="1">
      <c r="A484" s="216"/>
      <c r="B484" s="45" t="s">
        <v>202</v>
      </c>
      <c r="C484" s="11" t="s">
        <v>117</v>
      </c>
      <c r="D484" s="12">
        <v>41041</v>
      </c>
      <c r="E484" s="56">
        <v>0</v>
      </c>
      <c r="F484" s="56">
        <v>0</v>
      </c>
      <c r="G484" s="145">
        <v>55754</v>
      </c>
      <c r="H484" s="176">
        <f t="shared" si="23"/>
        <v>1.358495163373212</v>
      </c>
    </row>
    <row r="485" spans="1:8" ht="24">
      <c r="A485" s="216"/>
      <c r="B485" s="45" t="s">
        <v>233</v>
      </c>
      <c r="C485" s="11" t="s">
        <v>84</v>
      </c>
      <c r="D485" s="12">
        <v>992</v>
      </c>
      <c r="E485" s="56">
        <v>0</v>
      </c>
      <c r="F485" s="56">
        <v>0</v>
      </c>
      <c r="G485" s="145">
        <v>733</v>
      </c>
      <c r="H485" s="176">
        <f t="shared" si="23"/>
        <v>0.7389112903225806</v>
      </c>
    </row>
    <row r="486" spans="1:8" ht="15" customHeight="1">
      <c r="A486" s="216"/>
      <c r="B486" s="68">
        <v>4119</v>
      </c>
      <c r="C486" s="11" t="s">
        <v>84</v>
      </c>
      <c r="D486" s="72">
        <v>247</v>
      </c>
      <c r="E486" s="72">
        <v>0</v>
      </c>
      <c r="F486" s="72">
        <v>0</v>
      </c>
      <c r="G486" s="145">
        <v>346</v>
      </c>
      <c r="H486" s="176">
        <f t="shared" si="23"/>
        <v>1.4008097165991902</v>
      </c>
    </row>
    <row r="487" spans="1:8" ht="12.75">
      <c r="A487" s="216"/>
      <c r="B487" s="68">
        <v>4128</v>
      </c>
      <c r="C487" s="11" t="s">
        <v>83</v>
      </c>
      <c r="D487" s="72">
        <v>140</v>
      </c>
      <c r="E487" s="72">
        <v>0</v>
      </c>
      <c r="F487" s="72">
        <v>0</v>
      </c>
      <c r="G487" s="145">
        <v>101</v>
      </c>
      <c r="H487" s="176">
        <f t="shared" si="23"/>
        <v>0.7214285714285714</v>
      </c>
    </row>
    <row r="488" spans="1:8" ht="15" customHeight="1">
      <c r="A488" s="216"/>
      <c r="B488" s="68">
        <v>4129</v>
      </c>
      <c r="C488" s="11" t="s">
        <v>83</v>
      </c>
      <c r="D488" s="72">
        <v>34</v>
      </c>
      <c r="E488" s="72">
        <v>0</v>
      </c>
      <c r="F488" s="72">
        <v>0</v>
      </c>
      <c r="G488" s="145">
        <v>49</v>
      </c>
      <c r="H488" s="176">
        <f t="shared" si="23"/>
        <v>1.4411764705882353</v>
      </c>
    </row>
    <row r="489" spans="1:8" ht="12.75">
      <c r="A489" s="216"/>
      <c r="B489" s="68">
        <v>4178</v>
      </c>
      <c r="C489" s="122" t="s">
        <v>205</v>
      </c>
      <c r="D489" s="72">
        <v>5660</v>
      </c>
      <c r="E489" s="72">
        <v>0</v>
      </c>
      <c r="F489" s="72">
        <v>0</v>
      </c>
      <c r="G489" s="145">
        <v>4235</v>
      </c>
      <c r="H489" s="176">
        <f t="shared" si="23"/>
        <v>0.7482332155477032</v>
      </c>
    </row>
    <row r="490" spans="1:8" ht="12.75">
      <c r="A490" s="216"/>
      <c r="B490" s="68">
        <v>4179</v>
      </c>
      <c r="C490" s="122" t="s">
        <v>205</v>
      </c>
      <c r="D490" s="72">
        <v>1391</v>
      </c>
      <c r="E490" s="72">
        <v>0</v>
      </c>
      <c r="F490" s="72">
        <v>0</v>
      </c>
      <c r="G490" s="145">
        <v>1941</v>
      </c>
      <c r="H490" s="176">
        <f t="shared" si="23"/>
        <v>1.3953989935298345</v>
      </c>
    </row>
    <row r="491" spans="1:8" ht="12.75">
      <c r="A491" s="216"/>
      <c r="B491" s="116">
        <v>4218</v>
      </c>
      <c r="C491" s="11" t="s">
        <v>67</v>
      </c>
      <c r="D491" s="72">
        <v>2048</v>
      </c>
      <c r="E491" s="72"/>
      <c r="F491" s="72"/>
      <c r="G491" s="145">
        <v>2858</v>
      </c>
      <c r="H491" s="177">
        <f t="shared" si="23"/>
        <v>1.3955078125</v>
      </c>
    </row>
    <row r="492" spans="1:8" ht="13.5" thickBot="1">
      <c r="A492" s="216"/>
      <c r="B492" s="116">
        <v>4219</v>
      </c>
      <c r="C492" s="11" t="s">
        <v>67</v>
      </c>
      <c r="D492" s="72">
        <v>895</v>
      </c>
      <c r="E492" s="72">
        <v>0</v>
      </c>
      <c r="F492" s="72">
        <v>0</v>
      </c>
      <c r="G492" s="145">
        <v>1342</v>
      </c>
      <c r="H492" s="178">
        <f t="shared" si="23"/>
        <v>1.499441340782123</v>
      </c>
    </row>
    <row r="493" spans="1:8" ht="15" thickBot="1" thickTop="1">
      <c r="A493" s="211" t="s">
        <v>60</v>
      </c>
      <c r="B493" s="212"/>
      <c r="C493" s="212"/>
      <c r="D493" s="63">
        <f>SUM(D482:D492)</f>
        <v>270842</v>
      </c>
      <c r="E493" s="63">
        <f>SUM(E482:E492)</f>
        <v>0</v>
      </c>
      <c r="F493" s="63">
        <f>SUM(F482:F492)</f>
        <v>0</v>
      </c>
      <c r="G493" s="63">
        <f>SUM(G482:G492)</f>
        <v>211705</v>
      </c>
      <c r="H493" s="174">
        <f>G493/D493</f>
        <v>0.7816549870404147</v>
      </c>
    </row>
    <row r="494" spans="1:8" ht="14.25" thickTop="1">
      <c r="A494" s="218">
        <v>85417</v>
      </c>
      <c r="B494" s="224" t="s">
        <v>17</v>
      </c>
      <c r="C494" s="225"/>
      <c r="D494" s="225"/>
      <c r="E494" s="225"/>
      <c r="F494" s="225"/>
      <c r="G494" s="225"/>
      <c r="H494" s="226"/>
    </row>
    <row r="495" spans="1:8" ht="24">
      <c r="A495" s="216"/>
      <c r="B495" s="10">
        <v>4010</v>
      </c>
      <c r="C495" s="11" t="s">
        <v>64</v>
      </c>
      <c r="D495" s="12">
        <v>1698</v>
      </c>
      <c r="E495" s="56">
        <v>0</v>
      </c>
      <c r="F495" s="56">
        <v>0</v>
      </c>
      <c r="G495" s="145">
        <v>1800</v>
      </c>
      <c r="H495" s="176">
        <f aca="true" t="shared" si="24" ref="H495:H501">G495/D495</f>
        <v>1.0600706713780919</v>
      </c>
    </row>
    <row r="496" spans="1:8" ht="24">
      <c r="A496" s="216"/>
      <c r="B496" s="10">
        <v>4110</v>
      </c>
      <c r="C496" s="11" t="s">
        <v>84</v>
      </c>
      <c r="D496" s="12">
        <v>297</v>
      </c>
      <c r="E496" s="56">
        <v>0</v>
      </c>
      <c r="F496" s="56">
        <v>0</v>
      </c>
      <c r="G496" s="145">
        <v>315</v>
      </c>
      <c r="H496" s="176">
        <f t="shared" si="24"/>
        <v>1.0606060606060606</v>
      </c>
    </row>
    <row r="497" spans="1:8" ht="12.75">
      <c r="A497" s="216"/>
      <c r="B497" s="10">
        <v>4120</v>
      </c>
      <c r="C497" s="11" t="s">
        <v>83</v>
      </c>
      <c r="D497" s="12">
        <v>42</v>
      </c>
      <c r="E497" s="56">
        <v>0</v>
      </c>
      <c r="F497" s="56">
        <v>0</v>
      </c>
      <c r="G497" s="145">
        <v>45</v>
      </c>
      <c r="H497" s="176">
        <f t="shared" si="24"/>
        <v>1.0714285714285714</v>
      </c>
    </row>
    <row r="498" spans="1:8" ht="12.75">
      <c r="A498" s="216"/>
      <c r="B498" s="10">
        <v>4210</v>
      </c>
      <c r="C498" s="11" t="s">
        <v>67</v>
      </c>
      <c r="D498" s="12">
        <v>200</v>
      </c>
      <c r="E498" s="56">
        <v>0</v>
      </c>
      <c r="F498" s="56">
        <v>0</v>
      </c>
      <c r="G498" s="145">
        <v>240</v>
      </c>
      <c r="H498" s="176">
        <f t="shared" si="24"/>
        <v>1.2</v>
      </c>
    </row>
    <row r="499" spans="1:8" ht="12.75">
      <c r="A499" s="216"/>
      <c r="B499" s="10">
        <v>4260</v>
      </c>
      <c r="C499" s="11" t="s">
        <v>68</v>
      </c>
      <c r="D499" s="12">
        <v>263</v>
      </c>
      <c r="E499" s="56">
        <v>0</v>
      </c>
      <c r="F499" s="56">
        <v>0</v>
      </c>
      <c r="G499" s="145">
        <v>300</v>
      </c>
      <c r="H499" s="176">
        <f t="shared" si="24"/>
        <v>1.1406844106463878</v>
      </c>
    </row>
    <row r="500" spans="1:8" ht="13.5" thickBot="1">
      <c r="A500" s="219"/>
      <c r="B500" s="60">
        <v>4300</v>
      </c>
      <c r="C500" s="61" t="s">
        <v>62</v>
      </c>
      <c r="D500" s="62">
        <v>300</v>
      </c>
      <c r="E500" s="57">
        <v>0</v>
      </c>
      <c r="F500" s="57">
        <v>0</v>
      </c>
      <c r="G500" s="138">
        <v>300</v>
      </c>
      <c r="H500" s="178">
        <f t="shared" si="24"/>
        <v>1</v>
      </c>
    </row>
    <row r="501" spans="1:8" ht="15" thickBot="1" thickTop="1">
      <c r="A501" s="211" t="s">
        <v>46</v>
      </c>
      <c r="B501" s="212"/>
      <c r="C501" s="212"/>
      <c r="D501" s="63">
        <f>SUM(D495:D500)</f>
        <v>2800</v>
      </c>
      <c r="E501" s="63">
        <f>SUM(E495:E500)</f>
        <v>0</v>
      </c>
      <c r="F501" s="63">
        <f>SUM(F495:F500)</f>
        <v>0</v>
      </c>
      <c r="G501" s="63">
        <f>SUM(G495:G500)</f>
        <v>3000</v>
      </c>
      <c r="H501" s="174">
        <f t="shared" si="24"/>
        <v>1.0714285714285714</v>
      </c>
    </row>
    <row r="502" spans="1:8" ht="14.25" thickTop="1">
      <c r="A502" s="218">
        <v>85446</v>
      </c>
      <c r="B502" s="224" t="s">
        <v>149</v>
      </c>
      <c r="C502" s="225"/>
      <c r="D502" s="225"/>
      <c r="E502" s="225"/>
      <c r="F502" s="225"/>
      <c r="G502" s="225"/>
      <c r="H502" s="226"/>
    </row>
    <row r="503" spans="1:8" ht="12.75">
      <c r="A503" s="204"/>
      <c r="B503" s="60">
        <v>4300</v>
      </c>
      <c r="C503" s="61" t="s">
        <v>62</v>
      </c>
      <c r="D503" s="62">
        <v>450</v>
      </c>
      <c r="E503" s="57">
        <v>0</v>
      </c>
      <c r="F503" s="57">
        <v>0</v>
      </c>
      <c r="G503" s="138">
        <v>500</v>
      </c>
      <c r="H503" s="176">
        <f>G503/D503</f>
        <v>1.1111111111111112</v>
      </c>
    </row>
    <row r="504" spans="1:8" ht="24.75" thickBot="1">
      <c r="A504" s="219"/>
      <c r="B504" s="60">
        <v>3030</v>
      </c>
      <c r="C504" s="61" t="s">
        <v>77</v>
      </c>
      <c r="D504" s="62">
        <v>1500</v>
      </c>
      <c r="E504" s="57">
        <v>0</v>
      </c>
      <c r="F504" s="57">
        <v>0</v>
      </c>
      <c r="G504" s="138">
        <v>1800</v>
      </c>
      <c r="H504" s="178">
        <f>G504/D504</f>
        <v>1.2</v>
      </c>
    </row>
    <row r="505" spans="1:8" ht="15" thickBot="1" thickTop="1">
      <c r="A505" s="211" t="s">
        <v>192</v>
      </c>
      <c r="B505" s="212"/>
      <c r="C505" s="212"/>
      <c r="D505" s="63">
        <f>SUM(D503:D504)</f>
        <v>1950</v>
      </c>
      <c r="E505" s="63">
        <f>SUM(E503:E504)</f>
        <v>0</v>
      </c>
      <c r="F505" s="63">
        <f>SUM(F503:F504)</f>
        <v>0</v>
      </c>
      <c r="G505" s="139">
        <f>SUM(G503:G504)</f>
        <v>2300</v>
      </c>
      <c r="H505" s="174">
        <f>G505/D505</f>
        <v>1.1794871794871795</v>
      </c>
    </row>
    <row r="506" spans="1:8" ht="15" customHeight="1" thickTop="1">
      <c r="A506" s="218">
        <v>85495</v>
      </c>
      <c r="B506" s="224" t="s">
        <v>58</v>
      </c>
      <c r="C506" s="225"/>
      <c r="D506" s="225"/>
      <c r="E506" s="225"/>
      <c r="F506" s="225"/>
      <c r="G506" s="225"/>
      <c r="H506" s="226"/>
    </row>
    <row r="507" spans="1:8" ht="13.5" thickBot="1">
      <c r="A507" s="219"/>
      <c r="B507" s="60">
        <v>4440</v>
      </c>
      <c r="C507" s="61" t="s">
        <v>72</v>
      </c>
      <c r="D507" s="62">
        <v>2142</v>
      </c>
      <c r="E507" s="57">
        <v>0</v>
      </c>
      <c r="F507" s="57">
        <v>0</v>
      </c>
      <c r="G507" s="138">
        <v>2145</v>
      </c>
      <c r="H507" s="178">
        <f>G507/D507</f>
        <v>1.0014005602240896</v>
      </c>
    </row>
    <row r="508" spans="1:8" ht="15" thickBot="1" thickTop="1">
      <c r="A508" s="211" t="s">
        <v>193</v>
      </c>
      <c r="B508" s="212"/>
      <c r="C508" s="212"/>
      <c r="D508" s="63">
        <f>SUM(D507:D507)</f>
        <v>2142</v>
      </c>
      <c r="E508" s="93">
        <f>SUM(E507:E507)</f>
        <v>0</v>
      </c>
      <c r="F508" s="93">
        <f>SUM(F507:F507)</f>
        <v>0</v>
      </c>
      <c r="G508" s="146">
        <f>SUM(G507:G507)</f>
        <v>2145</v>
      </c>
      <c r="H508" s="174">
        <f>G508/D508</f>
        <v>1.0014005602240896</v>
      </c>
    </row>
    <row r="509" spans="1:8" ht="16.5" thickBot="1" thickTop="1">
      <c r="A509" s="213" t="s">
        <v>47</v>
      </c>
      <c r="B509" s="214"/>
      <c r="C509" s="214"/>
      <c r="D509" s="51">
        <f>D465+D480+D493+D501+D505+D508</f>
        <v>1347965</v>
      </c>
      <c r="E509" s="51">
        <f>E465+E480+E493+E501+E505+E508</f>
        <v>0</v>
      </c>
      <c r="F509" s="51">
        <f>F465+F480+F493+F501+F505+F508</f>
        <v>0</v>
      </c>
      <c r="G509" s="140">
        <f>G465+G480+G493+G501+G505+G508</f>
        <v>1254250</v>
      </c>
      <c r="H509" s="175">
        <f>SUM(H508)</f>
        <v>1.0014005602240896</v>
      </c>
    </row>
    <row r="510" spans="1:8" ht="21.75" customHeight="1" thickBot="1" thickTop="1">
      <c r="A510" s="200" t="s">
        <v>118</v>
      </c>
      <c r="B510" s="201"/>
      <c r="C510" s="201"/>
      <c r="D510" s="201"/>
      <c r="E510" s="201"/>
      <c r="F510" s="201"/>
      <c r="G510" s="201"/>
      <c r="H510" s="202"/>
    </row>
    <row r="511" spans="1:8" ht="14.25" thickTop="1">
      <c r="A511" s="218">
        <v>92116</v>
      </c>
      <c r="B511" s="224" t="s">
        <v>151</v>
      </c>
      <c r="C511" s="225"/>
      <c r="D511" s="225"/>
      <c r="E511" s="225"/>
      <c r="F511" s="225"/>
      <c r="G511" s="225"/>
      <c r="H511" s="226"/>
    </row>
    <row r="512" spans="1:8" ht="13.5" thickBot="1">
      <c r="A512" s="219"/>
      <c r="B512" s="60">
        <v>4240</v>
      </c>
      <c r="C512" s="61" t="s">
        <v>102</v>
      </c>
      <c r="D512" s="62">
        <v>10000</v>
      </c>
      <c r="E512" s="57">
        <v>0</v>
      </c>
      <c r="F512" s="57">
        <v>0</v>
      </c>
      <c r="G512" s="138">
        <v>5000</v>
      </c>
      <c r="H512" s="188">
        <f>G512/D512</f>
        <v>0.5</v>
      </c>
    </row>
    <row r="513" spans="1:8" ht="15" thickBot="1" thickTop="1">
      <c r="A513" s="211" t="s">
        <v>152</v>
      </c>
      <c r="B513" s="212"/>
      <c r="C513" s="212"/>
      <c r="D513" s="63">
        <f>SUM(D512:D512)</f>
        <v>10000</v>
      </c>
      <c r="E513" s="63">
        <f>SUM(E512:E512)</f>
        <v>0</v>
      </c>
      <c r="F513" s="63">
        <f>SUM(F512:F512)</f>
        <v>0</v>
      </c>
      <c r="G513" s="139">
        <f>SUM(G512:G512)</f>
        <v>5000</v>
      </c>
      <c r="H513" s="174">
        <f>G513/D513</f>
        <v>0.5</v>
      </c>
    </row>
    <row r="514" spans="1:8" ht="15" customHeight="1" thickTop="1">
      <c r="A514" s="218">
        <v>92195</v>
      </c>
      <c r="B514" s="224" t="s">
        <v>58</v>
      </c>
      <c r="C514" s="225"/>
      <c r="D514" s="225"/>
      <c r="E514" s="225"/>
      <c r="F514" s="225"/>
      <c r="G514" s="225"/>
      <c r="H514" s="226"/>
    </row>
    <row r="515" spans="1:8" ht="24">
      <c r="A515" s="218"/>
      <c r="B515" s="10">
        <v>2630</v>
      </c>
      <c r="C515" s="11" t="s">
        <v>258</v>
      </c>
      <c r="D515" s="12">
        <v>2000</v>
      </c>
      <c r="E515" s="56">
        <v>0</v>
      </c>
      <c r="F515" s="56">
        <v>0</v>
      </c>
      <c r="G515" s="145">
        <v>0</v>
      </c>
      <c r="H515" s="191">
        <f>G515/D515</f>
        <v>0</v>
      </c>
    </row>
    <row r="516" spans="1:8" ht="12.75">
      <c r="A516" s="216"/>
      <c r="B516" s="10">
        <v>4210</v>
      </c>
      <c r="C516" s="11" t="s">
        <v>67</v>
      </c>
      <c r="D516" s="12">
        <v>7840</v>
      </c>
      <c r="E516" s="56">
        <v>0</v>
      </c>
      <c r="F516" s="56">
        <v>0</v>
      </c>
      <c r="G516" s="145">
        <v>6500</v>
      </c>
      <c r="H516" s="191">
        <f>G516/D516</f>
        <v>0.8290816326530612</v>
      </c>
    </row>
    <row r="517" spans="1:8" ht="13.5" thickBot="1">
      <c r="A517" s="219"/>
      <c r="B517" s="60">
        <v>4300</v>
      </c>
      <c r="C517" s="61" t="s">
        <v>62</v>
      </c>
      <c r="D517" s="62">
        <v>5160</v>
      </c>
      <c r="E517" s="57">
        <v>0</v>
      </c>
      <c r="F517" s="57">
        <v>0</v>
      </c>
      <c r="G517" s="138">
        <v>8500</v>
      </c>
      <c r="H517" s="188">
        <f>G517/D517</f>
        <v>1.6472868217054264</v>
      </c>
    </row>
    <row r="518" spans="1:8" ht="15" thickBot="1" thickTop="1">
      <c r="A518" s="211" t="s">
        <v>119</v>
      </c>
      <c r="B518" s="212"/>
      <c r="C518" s="212"/>
      <c r="D518" s="63">
        <f>SUM(D515:D517)</f>
        <v>15000</v>
      </c>
      <c r="E518" s="63">
        <f>SUM(E515:E517)</f>
        <v>0</v>
      </c>
      <c r="F518" s="63">
        <f>SUM(F515:F517)</f>
        <v>0</v>
      </c>
      <c r="G518" s="63">
        <f>SUM(G515:G517)</f>
        <v>15000</v>
      </c>
      <c r="H518" s="174">
        <f>G518/D518</f>
        <v>1</v>
      </c>
    </row>
    <row r="519" spans="1:8" ht="16.5" thickBot="1" thickTop="1">
      <c r="A519" s="213" t="s">
        <v>120</v>
      </c>
      <c r="B519" s="214"/>
      <c r="C519" s="214"/>
      <c r="D519" s="51">
        <f>SUM(D513+D518)</f>
        <v>25000</v>
      </c>
      <c r="E519" s="52">
        <f>SUM(E513+E518)</f>
        <v>0</v>
      </c>
      <c r="F519" s="52">
        <f>SUM(F513+F518)</f>
        <v>0</v>
      </c>
      <c r="G519" s="140">
        <f>SUM(G513+G518)</f>
        <v>20000</v>
      </c>
      <c r="H519" s="175">
        <f>G519/D519</f>
        <v>0.8</v>
      </c>
    </row>
    <row r="520" spans="1:8" ht="21.75" customHeight="1" thickBot="1" thickTop="1">
      <c r="A520" s="200" t="s">
        <v>124</v>
      </c>
      <c r="B520" s="201"/>
      <c r="C520" s="201"/>
      <c r="D520" s="201"/>
      <c r="E520" s="201"/>
      <c r="F520" s="201"/>
      <c r="G520" s="201"/>
      <c r="H520" s="202"/>
    </row>
    <row r="521" spans="1:8" ht="21.75" customHeight="1" thickTop="1">
      <c r="A521" s="218">
        <v>92605</v>
      </c>
      <c r="B521" s="224" t="s">
        <v>260</v>
      </c>
      <c r="C521" s="225"/>
      <c r="D521" s="225"/>
      <c r="E521" s="225"/>
      <c r="F521" s="225"/>
      <c r="G521" s="225"/>
      <c r="H521" s="226"/>
    </row>
    <row r="522" spans="1:8" ht="48.75" customHeight="1" thickBot="1">
      <c r="A522" s="218"/>
      <c r="B522" s="10">
        <v>2820</v>
      </c>
      <c r="C522" s="11" t="s">
        <v>259</v>
      </c>
      <c r="D522" s="12">
        <v>5000</v>
      </c>
      <c r="E522" s="56">
        <v>0</v>
      </c>
      <c r="F522" s="56">
        <v>0</v>
      </c>
      <c r="G522" s="145">
        <v>5000</v>
      </c>
      <c r="H522" s="176">
        <f>G522/D522</f>
        <v>1</v>
      </c>
    </row>
    <row r="523" spans="1:8" ht="21.75" customHeight="1" thickBot="1" thickTop="1">
      <c r="A523" s="211" t="s">
        <v>261</v>
      </c>
      <c r="B523" s="212"/>
      <c r="C523" s="212"/>
      <c r="D523" s="63">
        <f>SUM(D522:D522)</f>
        <v>5000</v>
      </c>
      <c r="E523" s="63">
        <f>SUM(E522:E522)</f>
        <v>0</v>
      </c>
      <c r="F523" s="63">
        <f>SUM(F522:F522)</f>
        <v>0</v>
      </c>
      <c r="G523" s="139">
        <f>SUM(G522:G522)</f>
        <v>5000</v>
      </c>
      <c r="H523" s="174">
        <f>G523/D523</f>
        <v>1</v>
      </c>
    </row>
    <row r="524" spans="1:8" ht="15" customHeight="1" thickTop="1">
      <c r="A524" s="218">
        <v>92695</v>
      </c>
      <c r="B524" s="224" t="s">
        <v>58</v>
      </c>
      <c r="C524" s="225"/>
      <c r="D524" s="225"/>
      <c r="E524" s="225"/>
      <c r="F524" s="225"/>
      <c r="G524" s="225"/>
      <c r="H524" s="226"/>
    </row>
    <row r="525" spans="1:8" ht="25.5" customHeight="1">
      <c r="A525" s="218"/>
      <c r="B525" s="10">
        <v>3030</v>
      </c>
      <c r="C525" s="11" t="s">
        <v>77</v>
      </c>
      <c r="D525" s="12">
        <v>0</v>
      </c>
      <c r="E525" s="56">
        <v>0</v>
      </c>
      <c r="F525" s="56">
        <v>0</v>
      </c>
      <c r="G525" s="145">
        <v>600</v>
      </c>
      <c r="H525" s="176"/>
    </row>
    <row r="526" spans="1:8" ht="12.75">
      <c r="A526" s="216"/>
      <c r="B526" s="10">
        <v>4170</v>
      </c>
      <c r="C526" s="11" t="s">
        <v>210</v>
      </c>
      <c r="D526" s="12">
        <v>4900</v>
      </c>
      <c r="E526" s="56">
        <v>0</v>
      </c>
      <c r="F526" s="56">
        <v>0</v>
      </c>
      <c r="G526" s="145">
        <v>3500</v>
      </c>
      <c r="H526" s="176">
        <f aca="true" t="shared" si="25" ref="H526:H533">G526/D526</f>
        <v>0.7142857142857143</v>
      </c>
    </row>
    <row r="527" spans="1:8" ht="12.75">
      <c r="A527" s="216"/>
      <c r="B527" s="10">
        <v>4210</v>
      </c>
      <c r="C527" s="11" t="s">
        <v>67</v>
      </c>
      <c r="D527" s="12">
        <v>10500</v>
      </c>
      <c r="E527" s="56">
        <v>0</v>
      </c>
      <c r="F527" s="56">
        <v>0</v>
      </c>
      <c r="G527" s="145">
        <v>12200</v>
      </c>
      <c r="H527" s="176">
        <f t="shared" si="25"/>
        <v>1.161904761904762</v>
      </c>
    </row>
    <row r="528" spans="1:8" ht="12.75">
      <c r="A528" s="216"/>
      <c r="B528" s="10">
        <v>4300</v>
      </c>
      <c r="C528" s="11" t="s">
        <v>82</v>
      </c>
      <c r="D528" s="12">
        <v>8280</v>
      </c>
      <c r="E528" s="56">
        <v>0</v>
      </c>
      <c r="F528" s="56">
        <v>0</v>
      </c>
      <c r="G528" s="145">
        <v>4500</v>
      </c>
      <c r="H528" s="176">
        <f t="shared" si="25"/>
        <v>0.5434782608695652</v>
      </c>
    </row>
    <row r="529" spans="1:8" ht="12.75">
      <c r="A529" s="216"/>
      <c r="B529" s="10">
        <v>4410</v>
      </c>
      <c r="C529" s="11" t="s">
        <v>126</v>
      </c>
      <c r="D529" s="12">
        <v>1120</v>
      </c>
      <c r="E529" s="56">
        <v>0</v>
      </c>
      <c r="F529" s="56">
        <v>0</v>
      </c>
      <c r="G529" s="145">
        <v>3980</v>
      </c>
      <c r="H529" s="176">
        <f t="shared" si="25"/>
        <v>3.5535714285714284</v>
      </c>
    </row>
    <row r="530" spans="1:8" ht="13.5" thickBot="1">
      <c r="A530" s="219"/>
      <c r="B530" s="60">
        <v>4430</v>
      </c>
      <c r="C530" s="61" t="s">
        <v>81</v>
      </c>
      <c r="D530" s="62">
        <v>200</v>
      </c>
      <c r="E530" s="57">
        <v>0</v>
      </c>
      <c r="F530" s="57">
        <v>0</v>
      </c>
      <c r="G530" s="138">
        <v>220</v>
      </c>
      <c r="H530" s="178">
        <f t="shared" si="25"/>
        <v>1.1</v>
      </c>
    </row>
    <row r="531" spans="1:8" ht="15" thickBot="1" thickTop="1">
      <c r="A531" s="211" t="s">
        <v>122</v>
      </c>
      <c r="B531" s="212"/>
      <c r="C531" s="212"/>
      <c r="D531" s="63">
        <f>SUM(D525:D530)</f>
        <v>25000</v>
      </c>
      <c r="E531" s="63">
        <f>SUM(E525:E530)</f>
        <v>0</v>
      </c>
      <c r="F531" s="63">
        <f>SUM(F525:F530)</f>
        <v>0</v>
      </c>
      <c r="G531" s="139">
        <f>SUM(G525:G530)</f>
        <v>25000</v>
      </c>
      <c r="H531" s="174">
        <f t="shared" si="25"/>
        <v>1</v>
      </c>
    </row>
    <row r="532" spans="1:8" ht="16.5" thickBot="1" thickTop="1">
      <c r="A532" s="260" t="s">
        <v>121</v>
      </c>
      <c r="B532" s="261"/>
      <c r="C532" s="261"/>
      <c r="D532" s="53">
        <f>D523+D531</f>
        <v>30000</v>
      </c>
      <c r="E532" s="53">
        <f>E523+E531</f>
        <v>0</v>
      </c>
      <c r="F532" s="53">
        <f>F523+F531</f>
        <v>0</v>
      </c>
      <c r="G532" s="53">
        <f>G523+G531</f>
        <v>30000</v>
      </c>
      <c r="H532" s="198">
        <f t="shared" si="25"/>
        <v>1</v>
      </c>
    </row>
    <row r="533" spans="1:8" ht="17.25" thickBot="1" thickTop="1">
      <c r="A533" s="262" t="s">
        <v>123</v>
      </c>
      <c r="B533" s="263"/>
      <c r="C533" s="263"/>
      <c r="D533" s="54">
        <f>SUM(D10+D18+D43+D52+D74+D138+D169+D177+D298+D323+D386+D447+D509+D519+D532+D314+D182)</f>
        <v>31305813</v>
      </c>
      <c r="E533" s="54" t="e">
        <f>SUM(E10+E18+E43+E52+E74+E138+E169+E177+E298+E323+E386+E447+E509+E519+E532+E314+E182)</f>
        <v>#REF!</v>
      </c>
      <c r="F533" s="54" t="e">
        <f>SUM(F10+F18+F43+F52+F74+F138+F169+F177+F298+F323+F386+F447+F509+F519+F532+F314+F182)</f>
        <v>#REF!</v>
      </c>
      <c r="G533" s="54">
        <f>SUM(G10+G18+G43+G52+G74+G138+G169+G177+G298+G323+G386+G447+G509+G519+G532+G314+G182)</f>
        <v>32602503</v>
      </c>
      <c r="H533" s="199">
        <f t="shared" si="25"/>
        <v>1.041420103033261</v>
      </c>
    </row>
    <row r="534" spans="1:8" ht="16.5" thickTop="1">
      <c r="A534" s="220" t="s">
        <v>245</v>
      </c>
      <c r="B534" s="221"/>
      <c r="C534" s="221"/>
      <c r="D534" s="221"/>
      <c r="E534" s="222"/>
      <c r="F534" s="58"/>
      <c r="G534" s="20"/>
      <c r="H534" s="160"/>
    </row>
    <row r="535" spans="1:8" ht="15">
      <c r="A535" s="117"/>
      <c r="B535" s="3"/>
      <c r="C535" s="4"/>
      <c r="D535" s="124"/>
      <c r="E535" s="125"/>
      <c r="F535" s="125"/>
      <c r="G535" s="20"/>
      <c r="H535" s="160"/>
    </row>
    <row r="536" spans="1:8" ht="15" customHeight="1">
      <c r="A536" s="3"/>
      <c r="B536" s="3"/>
      <c r="C536" s="4"/>
      <c r="D536" s="124"/>
      <c r="E536" s="264" t="s">
        <v>235</v>
      </c>
      <c r="F536" s="264"/>
      <c r="G536" s="20"/>
      <c r="H536" s="160"/>
    </row>
    <row r="537" spans="1:8" ht="15" customHeight="1">
      <c r="A537" s="3"/>
      <c r="B537" s="3"/>
      <c r="C537" s="4"/>
      <c r="D537" s="238"/>
      <c r="E537" s="238"/>
      <c r="F537" s="238"/>
      <c r="G537" s="238"/>
      <c r="H537" s="161"/>
    </row>
    <row r="538" spans="1:8" ht="15" customHeight="1">
      <c r="A538" s="3"/>
      <c r="B538" s="3"/>
      <c r="C538" s="4"/>
      <c r="D538" s="238"/>
      <c r="E538" s="238"/>
      <c r="F538" s="238"/>
      <c r="G538" s="238"/>
      <c r="H538" s="161"/>
    </row>
    <row r="539" spans="1:8" ht="15" customHeight="1">
      <c r="A539" s="3"/>
      <c r="B539" s="3"/>
      <c r="C539" s="4"/>
      <c r="D539" s="238"/>
      <c r="E539" s="238"/>
      <c r="F539" s="238"/>
      <c r="G539" s="238"/>
      <c r="H539" s="161"/>
    </row>
    <row r="540" spans="1:8" ht="15" customHeight="1">
      <c r="A540" s="3"/>
      <c r="B540" s="3"/>
      <c r="C540" s="4"/>
      <c r="D540" s="238"/>
      <c r="E540" s="238"/>
      <c r="F540" s="238"/>
      <c r="G540" s="238"/>
      <c r="H540" s="161"/>
    </row>
    <row r="541" spans="1:8" ht="15" customHeight="1">
      <c r="A541" s="3"/>
      <c r="B541" s="3"/>
      <c r="C541" s="4"/>
      <c r="D541" s="238"/>
      <c r="E541" s="238"/>
      <c r="F541" s="238"/>
      <c r="G541" s="238"/>
      <c r="H541" s="161"/>
    </row>
    <row r="542" spans="3:8" ht="15">
      <c r="C542" s="1"/>
      <c r="D542" s="126"/>
      <c r="E542" s="127"/>
      <c r="F542" s="127"/>
      <c r="G542" s="20">
        <f>D533</f>
        <v>31305813</v>
      </c>
      <c r="H542" s="20">
        <f>G533</f>
        <v>32602503</v>
      </c>
    </row>
    <row r="543" spans="3:8" ht="15">
      <c r="C543" s="1"/>
      <c r="D543" s="126"/>
      <c r="E543" s="127"/>
      <c r="F543" s="127"/>
      <c r="G543" s="20">
        <f>Arkusz2!C78</f>
        <v>31305813</v>
      </c>
      <c r="H543" s="20">
        <f>Arkusz2!D78</f>
        <v>32602503</v>
      </c>
    </row>
    <row r="544" spans="3:8" ht="15">
      <c r="C544" s="1"/>
      <c r="D544" s="1"/>
      <c r="E544" s="59"/>
      <c r="F544" s="59"/>
      <c r="G544" s="20">
        <f>G542-G543</f>
        <v>0</v>
      </c>
      <c r="H544" s="20">
        <f>H542-H543</f>
        <v>0</v>
      </c>
    </row>
    <row r="545" spans="3:8" ht="15">
      <c r="C545" s="1"/>
      <c r="D545" s="1"/>
      <c r="E545" s="59"/>
      <c r="F545" s="59"/>
      <c r="G545" s="20"/>
      <c r="H545" s="160"/>
    </row>
    <row r="546" spans="3:8" ht="15">
      <c r="C546" s="1"/>
      <c r="D546" s="1"/>
      <c r="E546" s="59"/>
      <c r="F546" s="59"/>
      <c r="G546" s="20"/>
      <c r="H546" s="160"/>
    </row>
    <row r="547" spans="3:8" ht="15">
      <c r="C547" s="1"/>
      <c r="D547" s="1"/>
      <c r="E547" s="59"/>
      <c r="F547" s="59"/>
      <c r="G547" s="20"/>
      <c r="H547" s="160"/>
    </row>
    <row r="548" spans="3:8" ht="15">
      <c r="C548" s="1"/>
      <c r="D548" s="1"/>
      <c r="E548" s="59"/>
      <c r="F548" s="59"/>
      <c r="G548" s="20"/>
      <c r="H548" s="160"/>
    </row>
    <row r="549" spans="3:8" ht="15">
      <c r="C549" s="1"/>
      <c r="D549" s="1"/>
      <c r="E549" s="59"/>
      <c r="F549" s="59"/>
      <c r="G549" s="20"/>
      <c r="H549" s="160"/>
    </row>
    <row r="550" spans="3:8" ht="15">
      <c r="C550" s="1"/>
      <c r="D550" s="1"/>
      <c r="E550" s="59"/>
      <c r="F550" s="59"/>
      <c r="G550" s="128"/>
      <c r="H550" s="162"/>
    </row>
    <row r="551" spans="3:8" ht="15">
      <c r="C551" s="1"/>
      <c r="D551" s="1"/>
      <c r="E551" s="59"/>
      <c r="F551" s="59"/>
      <c r="G551" s="128"/>
      <c r="H551" s="162"/>
    </row>
    <row r="552" spans="3:8" ht="15">
      <c r="C552" s="1"/>
      <c r="D552" s="1"/>
      <c r="E552" s="59"/>
      <c r="F552" s="59"/>
      <c r="G552" s="128"/>
      <c r="H552" s="162"/>
    </row>
    <row r="553" spans="3:8" ht="15">
      <c r="C553" s="1"/>
      <c r="D553" s="1"/>
      <c r="E553" s="59"/>
      <c r="F553" s="59"/>
      <c r="G553" s="128"/>
      <c r="H553" s="162"/>
    </row>
    <row r="554" spans="3:8" ht="15">
      <c r="C554" s="1"/>
      <c r="D554" s="1"/>
      <c r="E554" s="59"/>
      <c r="F554" s="59"/>
      <c r="G554" s="128"/>
      <c r="H554" s="162"/>
    </row>
    <row r="555" spans="3:8" ht="15">
      <c r="C555" s="1"/>
      <c r="D555" s="1"/>
      <c r="E555" s="59"/>
      <c r="F555" s="59"/>
      <c r="G555" s="128"/>
      <c r="H555" s="162"/>
    </row>
    <row r="556" spans="3:8" ht="15">
      <c r="C556" s="1"/>
      <c r="D556" s="1"/>
      <c r="E556" s="59"/>
      <c r="F556" s="59"/>
      <c r="G556" s="128"/>
      <c r="H556" s="162"/>
    </row>
    <row r="557" spans="3:8" ht="15">
      <c r="C557" s="1"/>
      <c r="D557" s="1"/>
      <c r="E557" s="59"/>
      <c r="F557" s="59"/>
      <c r="G557" s="128"/>
      <c r="H557" s="162"/>
    </row>
    <row r="558" spans="3:8" ht="15">
      <c r="C558" s="1"/>
      <c r="D558" s="1"/>
      <c r="E558" s="59"/>
      <c r="F558" s="59"/>
      <c r="G558" s="128"/>
      <c r="H558" s="162"/>
    </row>
    <row r="559" spans="3:8" ht="15">
      <c r="C559" s="1"/>
      <c r="D559" s="1"/>
      <c r="E559" s="59"/>
      <c r="F559" s="59"/>
      <c r="G559" s="128"/>
      <c r="H559" s="162"/>
    </row>
    <row r="560" spans="3:8" ht="15">
      <c r="C560" s="1"/>
      <c r="D560" s="1"/>
      <c r="E560" s="59"/>
      <c r="F560" s="59"/>
      <c r="G560" s="128"/>
      <c r="H560" s="162"/>
    </row>
    <row r="561" spans="3:8" ht="15">
      <c r="C561" s="1"/>
      <c r="D561" s="1"/>
      <c r="E561" s="59"/>
      <c r="F561" s="59"/>
      <c r="G561" s="128"/>
      <c r="H561" s="162"/>
    </row>
    <row r="562" spans="3:8" ht="15">
      <c r="C562" s="1"/>
      <c r="D562" s="1"/>
      <c r="E562" s="59"/>
      <c r="F562" s="59"/>
      <c r="G562" s="128"/>
      <c r="H562" s="162"/>
    </row>
    <row r="563" spans="3:8" ht="15">
      <c r="C563" s="1"/>
      <c r="D563" s="1"/>
      <c r="E563" s="59"/>
      <c r="F563" s="59"/>
      <c r="G563" s="128"/>
      <c r="H563" s="162"/>
    </row>
    <row r="564" spans="3:8" ht="15">
      <c r="C564" s="1"/>
      <c r="D564" s="1"/>
      <c r="E564" s="59"/>
      <c r="F564" s="59"/>
      <c r="G564" s="128"/>
      <c r="H564" s="162"/>
    </row>
    <row r="565" spans="3:8" ht="15">
      <c r="C565" s="1"/>
      <c r="D565" s="1"/>
      <c r="E565" s="59"/>
      <c r="F565" s="59"/>
      <c r="G565" s="128"/>
      <c r="H565" s="162"/>
    </row>
    <row r="566" spans="3:8" ht="15">
      <c r="C566" s="1"/>
      <c r="D566" s="1"/>
      <c r="E566" s="59"/>
      <c r="F566" s="59"/>
      <c r="G566" s="128"/>
      <c r="H566" s="162"/>
    </row>
    <row r="567" spans="3:8" ht="15">
      <c r="C567" s="1"/>
      <c r="D567" s="1"/>
      <c r="E567" s="59"/>
      <c r="F567" s="59"/>
      <c r="G567" s="128"/>
      <c r="H567" s="162"/>
    </row>
    <row r="568" spans="3:8" ht="15">
      <c r="C568" s="1"/>
      <c r="D568" s="1"/>
      <c r="E568" s="59"/>
      <c r="F568" s="59"/>
      <c r="G568" s="128"/>
      <c r="H568" s="162"/>
    </row>
    <row r="569" spans="3:8" ht="15">
      <c r="C569" s="1"/>
      <c r="D569" s="1"/>
      <c r="E569" s="59"/>
      <c r="F569" s="59"/>
      <c r="G569" s="128"/>
      <c r="H569" s="162"/>
    </row>
    <row r="570" spans="3:8" ht="15">
      <c r="C570" s="1"/>
      <c r="D570" s="1"/>
      <c r="E570" s="59"/>
      <c r="F570" s="59"/>
      <c r="G570" s="128"/>
      <c r="H570" s="162"/>
    </row>
    <row r="571" spans="3:8" ht="15">
      <c r="C571" s="1"/>
      <c r="D571" s="1"/>
      <c r="E571" s="59"/>
      <c r="F571" s="59"/>
      <c r="G571" s="128"/>
      <c r="H571" s="162"/>
    </row>
    <row r="572" spans="3:8" ht="26.25" customHeight="1">
      <c r="C572" s="1"/>
      <c r="D572" s="1"/>
      <c r="E572" s="59"/>
      <c r="F572" s="59"/>
      <c r="G572" s="128"/>
      <c r="H572" s="162"/>
    </row>
    <row r="573" spans="3:8" ht="15">
      <c r="C573" s="1"/>
      <c r="D573" s="1"/>
      <c r="E573" s="59"/>
      <c r="F573" s="59"/>
      <c r="G573" s="128"/>
      <c r="H573" s="162"/>
    </row>
    <row r="574" spans="3:8" ht="15">
      <c r="C574" s="1"/>
      <c r="D574" s="1"/>
      <c r="E574" s="59"/>
      <c r="F574" s="59"/>
      <c r="G574" s="128"/>
      <c r="H574" s="162"/>
    </row>
    <row r="575" spans="3:8" ht="15">
      <c r="C575" s="1"/>
      <c r="D575" s="1"/>
      <c r="E575" s="59"/>
      <c r="F575" s="59"/>
      <c r="G575" s="128"/>
      <c r="H575" s="162"/>
    </row>
    <row r="576" spans="3:8" ht="15">
      <c r="C576" s="1"/>
      <c r="D576" s="1"/>
      <c r="E576" s="59"/>
      <c r="F576" s="59"/>
      <c r="G576" s="128"/>
      <c r="H576" s="162"/>
    </row>
    <row r="577" spans="3:8" ht="15">
      <c r="C577" s="1"/>
      <c r="D577" s="1"/>
      <c r="E577" s="59"/>
      <c r="F577" s="59"/>
      <c r="G577" s="128"/>
      <c r="H577" s="162"/>
    </row>
    <row r="578" spans="3:8" ht="15">
      <c r="C578" s="1"/>
      <c r="D578" s="1"/>
      <c r="E578" s="59"/>
      <c r="F578" s="59"/>
      <c r="G578" s="128"/>
      <c r="H578" s="162"/>
    </row>
    <row r="579" spans="3:8" ht="15">
      <c r="C579" s="1"/>
      <c r="D579" s="1"/>
      <c r="E579" s="59"/>
      <c r="F579" s="59"/>
      <c r="G579" s="128"/>
      <c r="H579" s="162"/>
    </row>
    <row r="580" spans="3:8" ht="15">
      <c r="C580" s="1"/>
      <c r="D580" s="1"/>
      <c r="E580" s="59"/>
      <c r="F580" s="59"/>
      <c r="G580" s="128"/>
      <c r="H580" s="162"/>
    </row>
    <row r="581" spans="3:8" ht="15">
      <c r="C581" s="1"/>
      <c r="D581" s="1"/>
      <c r="E581" s="59"/>
      <c r="F581" s="59"/>
      <c r="G581" s="128"/>
      <c r="H581" s="162"/>
    </row>
    <row r="582" spans="3:8" ht="15">
      <c r="C582" s="1"/>
      <c r="D582" s="1"/>
      <c r="E582" s="59"/>
      <c r="F582" s="59"/>
      <c r="G582" s="128"/>
      <c r="H582" s="162"/>
    </row>
    <row r="583" spans="3:8" ht="15">
      <c r="C583" s="1"/>
      <c r="D583" s="1"/>
      <c r="E583" s="59"/>
      <c r="F583" s="59"/>
      <c r="G583" s="128"/>
      <c r="H583" s="162"/>
    </row>
    <row r="584" spans="3:8" ht="15">
      <c r="C584" s="1"/>
      <c r="D584" s="1"/>
      <c r="E584" s="59"/>
      <c r="F584" s="59"/>
      <c r="G584" s="128"/>
      <c r="H584" s="162"/>
    </row>
    <row r="585" spans="3:8" ht="15">
      <c r="C585" s="1"/>
      <c r="D585" s="1"/>
      <c r="E585" s="59"/>
      <c r="F585" s="59"/>
      <c r="G585" s="128"/>
      <c r="H585" s="162"/>
    </row>
    <row r="586" spans="3:8" ht="15">
      <c r="C586" s="1"/>
      <c r="D586" s="1"/>
      <c r="E586" s="59"/>
      <c r="F586" s="59"/>
      <c r="G586" s="128"/>
      <c r="H586" s="162"/>
    </row>
    <row r="587" spans="3:8" ht="15">
      <c r="C587" s="1"/>
      <c r="D587" s="1"/>
      <c r="E587" s="59"/>
      <c r="F587" s="59"/>
      <c r="G587" s="128"/>
      <c r="H587" s="162"/>
    </row>
    <row r="588" spans="3:8" ht="15">
      <c r="C588" s="1"/>
      <c r="D588" s="1"/>
      <c r="E588" s="59"/>
      <c r="F588" s="59"/>
      <c r="G588" s="128"/>
      <c r="H588" s="162"/>
    </row>
    <row r="589" spans="3:8" ht="15">
      <c r="C589" s="1"/>
      <c r="D589" s="1"/>
      <c r="E589" s="59"/>
      <c r="F589" s="59"/>
      <c r="G589" s="128"/>
      <c r="H589" s="162"/>
    </row>
    <row r="590" spans="3:8" ht="15">
      <c r="C590" s="1"/>
      <c r="D590" s="1"/>
      <c r="E590" s="59"/>
      <c r="F590" s="59"/>
      <c r="G590" s="128"/>
      <c r="H590" s="162"/>
    </row>
    <row r="591" spans="3:8" ht="15">
      <c r="C591" s="1"/>
      <c r="D591" s="1"/>
      <c r="E591" s="59"/>
      <c r="F591" s="59"/>
      <c r="G591" s="128"/>
      <c r="H591" s="162"/>
    </row>
    <row r="592" spans="3:8" ht="15">
      <c r="C592" s="1"/>
      <c r="D592" s="1"/>
      <c r="E592" s="59"/>
      <c r="F592" s="59"/>
      <c r="G592" s="128"/>
      <c r="H592" s="162"/>
    </row>
    <row r="593" spans="3:8" ht="15">
      <c r="C593" s="1"/>
      <c r="D593" s="1"/>
      <c r="E593" s="59"/>
      <c r="F593" s="59"/>
      <c r="G593" s="128"/>
      <c r="H593" s="162"/>
    </row>
    <row r="594" spans="3:8" ht="15">
      <c r="C594" s="1"/>
      <c r="D594" s="1"/>
      <c r="E594" s="59"/>
      <c r="F594" s="59"/>
      <c r="G594" s="128"/>
      <c r="H594" s="162"/>
    </row>
    <row r="595" spans="3:8" ht="15">
      <c r="C595" s="1"/>
      <c r="D595" s="1"/>
      <c r="E595" s="59"/>
      <c r="F595" s="59"/>
      <c r="G595" s="128"/>
      <c r="H595" s="162"/>
    </row>
    <row r="596" spans="3:8" ht="15">
      <c r="C596" s="1"/>
      <c r="D596" s="1"/>
      <c r="E596" s="59"/>
      <c r="F596" s="59"/>
      <c r="G596" s="128"/>
      <c r="H596" s="162"/>
    </row>
    <row r="597" spans="3:7" ht="12.75">
      <c r="C597" s="1"/>
      <c r="D597" s="1"/>
      <c r="E597" s="59"/>
      <c r="F597" s="59"/>
      <c r="G597" s="129"/>
    </row>
    <row r="598" spans="3:7" ht="12.75">
      <c r="C598" s="1"/>
      <c r="D598" s="1"/>
      <c r="E598" s="59"/>
      <c r="F598" s="59"/>
      <c r="G598" s="129"/>
    </row>
    <row r="599" spans="3:7" ht="12.75">
      <c r="C599" s="1"/>
      <c r="D599" s="1"/>
      <c r="E599" s="59"/>
      <c r="F599" s="59"/>
      <c r="G599" s="129"/>
    </row>
    <row r="600" spans="3:7" ht="12.75">
      <c r="C600" s="1"/>
      <c r="D600" s="1"/>
      <c r="E600" s="59"/>
      <c r="F600" s="59"/>
      <c r="G600" s="129"/>
    </row>
    <row r="601" spans="3:7" ht="12.75">
      <c r="C601" s="1"/>
      <c r="D601" s="1"/>
      <c r="E601" s="59"/>
      <c r="F601" s="59"/>
      <c r="G601" s="129"/>
    </row>
    <row r="602" spans="3:7" ht="12.75">
      <c r="C602" s="1"/>
      <c r="D602" s="1"/>
      <c r="E602" s="59"/>
      <c r="F602" s="59"/>
      <c r="G602" s="129"/>
    </row>
    <row r="603" spans="3:7" ht="12.75">
      <c r="C603" s="1"/>
      <c r="D603" s="1"/>
      <c r="E603" s="59"/>
      <c r="F603" s="59"/>
      <c r="G603" s="129"/>
    </row>
    <row r="604" spans="3:7" ht="12.75">
      <c r="C604" s="1"/>
      <c r="D604" s="1"/>
      <c r="E604" s="59"/>
      <c r="F604" s="59"/>
      <c r="G604" s="129"/>
    </row>
    <row r="605" spans="3:7" ht="12.75">
      <c r="C605" s="1"/>
      <c r="D605" s="1"/>
      <c r="E605" s="59"/>
      <c r="F605" s="59"/>
      <c r="G605" s="129"/>
    </row>
    <row r="606" spans="3:7" ht="12.75">
      <c r="C606" s="1"/>
      <c r="D606" s="1"/>
      <c r="E606" s="59"/>
      <c r="F606" s="59"/>
      <c r="G606" s="129"/>
    </row>
    <row r="607" spans="3:7" ht="12.75">
      <c r="C607" s="1"/>
      <c r="D607" s="1"/>
      <c r="E607" s="59"/>
      <c r="F607" s="59"/>
      <c r="G607" s="129"/>
    </row>
    <row r="608" spans="3:7" ht="12.75">
      <c r="C608" s="1"/>
      <c r="D608" s="1"/>
      <c r="E608" s="59"/>
      <c r="F608" s="59"/>
      <c r="G608" s="129"/>
    </row>
    <row r="609" spans="3:7" ht="12.75">
      <c r="C609" s="1"/>
      <c r="D609" s="1"/>
      <c r="E609" s="59"/>
      <c r="F609" s="59"/>
      <c r="G609" s="129"/>
    </row>
    <row r="610" spans="3:7" ht="12.75">
      <c r="C610" s="1"/>
      <c r="D610" s="1"/>
      <c r="E610" s="59"/>
      <c r="F610" s="59"/>
      <c r="G610" s="129"/>
    </row>
    <row r="611" spans="3:7" ht="12.75">
      <c r="C611" s="1"/>
      <c r="D611" s="1"/>
      <c r="E611" s="59"/>
      <c r="F611" s="59"/>
      <c r="G611" s="129"/>
    </row>
    <row r="612" spans="3:7" ht="12.75">
      <c r="C612" s="1"/>
      <c r="D612" s="1"/>
      <c r="E612" s="59"/>
      <c r="F612" s="59"/>
      <c r="G612" s="129"/>
    </row>
    <row r="613" spans="3:7" ht="12.75">
      <c r="C613" s="1"/>
      <c r="D613" s="1"/>
      <c r="E613" s="59"/>
      <c r="F613" s="59"/>
      <c r="G613" s="129"/>
    </row>
    <row r="614" spans="3:7" ht="12.75">
      <c r="C614" s="1"/>
      <c r="D614" s="1"/>
      <c r="E614" s="59"/>
      <c r="F614" s="59"/>
      <c r="G614" s="129"/>
    </row>
    <row r="615" spans="3:7" ht="12.75">
      <c r="C615" s="1"/>
      <c r="D615" s="1"/>
      <c r="E615" s="59"/>
      <c r="F615" s="59"/>
      <c r="G615" s="129"/>
    </row>
    <row r="616" spans="3:7" ht="12.75">
      <c r="C616" s="1"/>
      <c r="D616" s="1"/>
      <c r="E616" s="59"/>
      <c r="F616" s="59"/>
      <c r="G616" s="129"/>
    </row>
    <row r="617" spans="3:7" ht="12.75">
      <c r="C617" s="1"/>
      <c r="D617" s="1"/>
      <c r="E617" s="59"/>
      <c r="F617" s="59"/>
      <c r="G617" s="129"/>
    </row>
    <row r="618" spans="3:7" ht="12.75">
      <c r="C618" s="1"/>
      <c r="D618" s="1"/>
      <c r="E618" s="59"/>
      <c r="F618" s="59"/>
      <c r="G618" s="129"/>
    </row>
    <row r="619" spans="3:7" ht="12.75">
      <c r="C619" s="1"/>
      <c r="D619" s="1"/>
      <c r="E619" s="59"/>
      <c r="F619" s="59"/>
      <c r="G619" s="129"/>
    </row>
    <row r="620" spans="3:7" ht="12.75">
      <c r="C620" s="1"/>
      <c r="D620" s="1"/>
      <c r="E620" s="59"/>
      <c r="F620" s="59"/>
      <c r="G620" s="129"/>
    </row>
    <row r="621" spans="3:7" ht="12.75">
      <c r="C621" s="1"/>
      <c r="D621" s="1"/>
      <c r="E621" s="59"/>
      <c r="F621" s="59"/>
      <c r="G621" s="129"/>
    </row>
    <row r="622" spans="3:7" ht="12.75">
      <c r="C622" s="1"/>
      <c r="D622" s="1"/>
      <c r="E622" s="59"/>
      <c r="F622" s="59"/>
      <c r="G622" s="129"/>
    </row>
    <row r="623" spans="3:7" ht="12.75">
      <c r="C623" s="1"/>
      <c r="D623" s="1"/>
      <c r="E623" s="59"/>
      <c r="F623" s="59"/>
      <c r="G623" s="129"/>
    </row>
    <row r="624" spans="3:7" ht="12.75">
      <c r="C624" s="1"/>
      <c r="D624" s="1"/>
      <c r="E624" s="59"/>
      <c r="F624" s="127"/>
      <c r="G624" s="129"/>
    </row>
    <row r="625" spans="3:7" ht="12.75">
      <c r="C625" s="1"/>
      <c r="D625" s="1"/>
      <c r="E625" s="59"/>
      <c r="F625" s="127"/>
      <c r="G625" s="129"/>
    </row>
    <row r="626" spans="3:7" ht="12.75">
      <c r="C626" s="1"/>
      <c r="D626" s="1"/>
      <c r="E626" s="59"/>
      <c r="F626" s="127"/>
      <c r="G626" s="129"/>
    </row>
    <row r="627" spans="3:7" ht="12.75">
      <c r="C627" s="1"/>
      <c r="D627" s="1"/>
      <c r="E627" s="59"/>
      <c r="F627" s="127"/>
      <c r="G627" s="129"/>
    </row>
    <row r="628" spans="3:7" ht="12.75">
      <c r="C628" s="1"/>
      <c r="D628" s="1"/>
      <c r="E628" s="59"/>
      <c r="F628" s="127"/>
      <c r="G628" s="129"/>
    </row>
    <row r="629" spans="3:7" ht="12.75">
      <c r="C629" s="1"/>
      <c r="D629" s="1"/>
      <c r="E629" s="59"/>
      <c r="F629" s="127"/>
      <c r="G629" s="129"/>
    </row>
    <row r="630" spans="3:7" ht="12.75">
      <c r="C630" s="1"/>
      <c r="D630" s="1"/>
      <c r="E630" s="59"/>
      <c r="F630" s="127"/>
      <c r="G630" s="129"/>
    </row>
    <row r="631" spans="3:7" ht="12.75">
      <c r="C631" s="1"/>
      <c r="D631" s="1"/>
      <c r="E631" s="59"/>
      <c r="F631" s="127"/>
      <c r="G631" s="129"/>
    </row>
    <row r="632" spans="3:7" ht="12.75">
      <c r="C632" s="1"/>
      <c r="D632" s="1"/>
      <c r="E632" s="59"/>
      <c r="F632" s="127"/>
      <c r="G632" s="129"/>
    </row>
    <row r="633" spans="3:7" ht="12.75">
      <c r="C633" s="1"/>
      <c r="D633" s="1"/>
      <c r="E633" s="59"/>
      <c r="F633" s="127"/>
      <c r="G633" s="129"/>
    </row>
    <row r="634" spans="3:7" ht="12.75">
      <c r="C634" s="1"/>
      <c r="D634" s="1"/>
      <c r="E634" s="59"/>
      <c r="F634" s="127"/>
      <c r="G634" s="129"/>
    </row>
    <row r="635" spans="3:7" ht="12.75">
      <c r="C635" s="1"/>
      <c r="D635" s="1"/>
      <c r="E635" s="59"/>
      <c r="F635" s="127"/>
      <c r="G635" s="129"/>
    </row>
    <row r="636" spans="3:7" ht="12.75">
      <c r="C636" s="1"/>
      <c r="D636" s="1"/>
      <c r="E636" s="59"/>
      <c r="F636" s="127"/>
      <c r="G636" s="129"/>
    </row>
    <row r="637" spans="3:7" ht="12.75">
      <c r="C637" s="1"/>
      <c r="D637" s="1"/>
      <c r="E637" s="59"/>
      <c r="F637" s="127"/>
      <c r="G637" s="129"/>
    </row>
    <row r="638" spans="3:7" ht="12.75">
      <c r="C638" s="1"/>
      <c r="D638" s="1"/>
      <c r="E638" s="59"/>
      <c r="F638" s="127"/>
      <c r="G638" s="129"/>
    </row>
    <row r="639" spans="3:7" ht="12.75">
      <c r="C639" s="1"/>
      <c r="D639" s="1"/>
      <c r="E639" s="59"/>
      <c r="F639" s="127"/>
      <c r="G639" s="129"/>
    </row>
    <row r="640" spans="3:7" ht="12.75">
      <c r="C640" s="1"/>
      <c r="D640" s="1"/>
      <c r="E640" s="59"/>
      <c r="F640" s="127"/>
      <c r="G640" s="129"/>
    </row>
    <row r="641" spans="3:7" ht="12.75">
      <c r="C641" s="1"/>
      <c r="D641" s="1"/>
      <c r="E641" s="59"/>
      <c r="F641" s="127"/>
      <c r="G641" s="129"/>
    </row>
    <row r="642" spans="3:7" ht="12.75">
      <c r="C642" s="1"/>
      <c r="D642" s="1"/>
      <c r="E642" s="59"/>
      <c r="F642" s="127"/>
      <c r="G642" s="129"/>
    </row>
    <row r="643" spans="3:7" ht="12.75">
      <c r="C643" s="1"/>
      <c r="D643" s="1"/>
      <c r="E643" s="59"/>
      <c r="F643" s="127"/>
      <c r="G643" s="129"/>
    </row>
    <row r="644" spans="3:7" ht="12.75">
      <c r="C644" s="1"/>
      <c r="D644" s="1"/>
      <c r="E644" s="59"/>
      <c r="F644" s="127"/>
      <c r="G644" s="129"/>
    </row>
    <row r="645" spans="3:7" ht="12.75">
      <c r="C645" s="1"/>
      <c r="D645" s="1"/>
      <c r="E645" s="59"/>
      <c r="F645" s="127"/>
      <c r="G645" s="129"/>
    </row>
    <row r="646" spans="3:7" ht="12.75">
      <c r="C646" s="1"/>
      <c r="D646" s="1"/>
      <c r="E646" s="59"/>
      <c r="F646" s="127"/>
      <c r="G646" s="129"/>
    </row>
    <row r="647" spans="3:7" ht="12.75">
      <c r="C647" s="1"/>
      <c r="D647" s="1"/>
      <c r="E647" s="59"/>
      <c r="F647" s="127"/>
      <c r="G647" s="129"/>
    </row>
    <row r="648" spans="3:7" ht="12.75">
      <c r="C648" s="1"/>
      <c r="D648" s="1"/>
      <c r="E648" s="59"/>
      <c r="F648" s="127"/>
      <c r="G648" s="129"/>
    </row>
    <row r="649" spans="3:7" ht="12.75">
      <c r="C649" s="1"/>
      <c r="D649" s="1"/>
      <c r="E649" s="59"/>
      <c r="F649" s="127"/>
      <c r="G649" s="129"/>
    </row>
    <row r="650" spans="3:7" ht="12.75">
      <c r="C650" s="1"/>
      <c r="D650" s="1"/>
      <c r="E650" s="59"/>
      <c r="F650" s="127"/>
      <c r="G650" s="129"/>
    </row>
    <row r="651" spans="3:7" ht="12.75">
      <c r="C651" s="1"/>
      <c r="D651" s="1"/>
      <c r="E651" s="59"/>
      <c r="F651" s="127"/>
      <c r="G651" s="129"/>
    </row>
    <row r="652" spans="3:7" ht="12.75">
      <c r="C652" s="1"/>
      <c r="D652" s="1"/>
      <c r="E652" s="59"/>
      <c r="F652" s="127"/>
      <c r="G652" s="129"/>
    </row>
    <row r="653" spans="3:7" ht="12.75">
      <c r="C653" s="1"/>
      <c r="D653" s="1"/>
      <c r="E653" s="59"/>
      <c r="F653" s="127"/>
      <c r="G653" s="129"/>
    </row>
    <row r="654" spans="3:7" ht="12.75">
      <c r="C654" s="1"/>
      <c r="D654" s="1"/>
      <c r="E654" s="59"/>
      <c r="F654" s="127"/>
      <c r="G654" s="129"/>
    </row>
    <row r="655" spans="3:7" ht="12.75">
      <c r="C655" s="1"/>
      <c r="D655" s="1"/>
      <c r="E655" s="59"/>
      <c r="F655" s="127"/>
      <c r="G655" s="129"/>
    </row>
    <row r="656" spans="3:7" ht="12.75">
      <c r="C656" s="1"/>
      <c r="D656" s="1"/>
      <c r="E656" s="59"/>
      <c r="F656" s="127"/>
      <c r="G656" s="129"/>
    </row>
    <row r="657" spans="3:7" ht="12.75">
      <c r="C657" s="1"/>
      <c r="D657" s="1"/>
      <c r="E657" s="59"/>
      <c r="F657" s="127"/>
      <c r="G657" s="129"/>
    </row>
    <row r="658" spans="3:7" ht="12.75">
      <c r="C658" s="1"/>
      <c r="D658" s="1"/>
      <c r="E658" s="59"/>
      <c r="F658" s="127"/>
      <c r="G658" s="129"/>
    </row>
    <row r="659" spans="3:7" ht="12.75">
      <c r="C659" s="1"/>
      <c r="D659" s="1"/>
      <c r="E659" s="59"/>
      <c r="F659" s="127"/>
      <c r="G659" s="129"/>
    </row>
    <row r="660" spans="3:7" ht="12.75">
      <c r="C660" s="1"/>
      <c r="D660" s="1"/>
      <c r="E660" s="59"/>
      <c r="F660" s="127"/>
      <c r="G660" s="129"/>
    </row>
    <row r="661" spans="3:7" ht="12.75">
      <c r="C661" s="1"/>
      <c r="D661" s="1"/>
      <c r="E661" s="59"/>
      <c r="F661" s="127"/>
      <c r="G661" s="129"/>
    </row>
    <row r="662" spans="3:7" ht="12.75">
      <c r="C662" s="1"/>
      <c r="D662" s="1"/>
      <c r="E662" s="59"/>
      <c r="F662" s="127"/>
      <c r="G662" s="129"/>
    </row>
    <row r="663" spans="3:7" ht="12.75">
      <c r="C663" s="1"/>
      <c r="D663" s="1"/>
      <c r="E663" s="59"/>
      <c r="F663" s="127"/>
      <c r="G663" s="129"/>
    </row>
    <row r="664" spans="3:7" ht="12.75">
      <c r="C664" s="1"/>
      <c r="D664" s="1"/>
      <c r="E664" s="59"/>
      <c r="F664" s="127"/>
      <c r="G664" s="129"/>
    </row>
    <row r="665" spans="3:7" ht="12.75">
      <c r="C665" s="1"/>
      <c r="D665" s="1"/>
      <c r="E665" s="59"/>
      <c r="F665" s="127"/>
      <c r="G665" s="129"/>
    </row>
    <row r="666" spans="3:7" ht="12.75">
      <c r="C666" s="1"/>
      <c r="D666" s="1"/>
      <c r="E666" s="59"/>
      <c r="F666" s="127"/>
      <c r="G666" s="129"/>
    </row>
    <row r="667" spans="3:7" ht="12.75">
      <c r="C667" s="1"/>
      <c r="D667" s="1"/>
      <c r="E667" s="59"/>
      <c r="F667" s="127"/>
      <c r="G667" s="129"/>
    </row>
    <row r="668" spans="3:7" ht="12.75">
      <c r="C668" s="1"/>
      <c r="D668" s="1"/>
      <c r="E668" s="59"/>
      <c r="F668" s="127"/>
      <c r="G668" s="129"/>
    </row>
    <row r="669" spans="3:7" ht="12.75">
      <c r="C669" s="1"/>
      <c r="D669" s="1"/>
      <c r="E669" s="59"/>
      <c r="F669" s="127"/>
      <c r="G669" s="129"/>
    </row>
    <row r="670" spans="3:7" ht="12.75">
      <c r="C670" s="1"/>
      <c r="D670" s="1"/>
      <c r="E670" s="59"/>
      <c r="F670" s="127"/>
      <c r="G670" s="129"/>
    </row>
    <row r="671" spans="3:7" ht="12.75">
      <c r="C671" s="1"/>
      <c r="D671" s="1"/>
      <c r="E671" s="59"/>
      <c r="F671" s="127"/>
      <c r="G671" s="129"/>
    </row>
    <row r="672" spans="3:7" ht="12.75">
      <c r="C672" s="1"/>
      <c r="D672" s="1"/>
      <c r="E672" s="59"/>
      <c r="F672" s="127"/>
      <c r="G672" s="129"/>
    </row>
    <row r="673" spans="3:7" ht="12.75">
      <c r="C673" s="1"/>
      <c r="D673" s="1"/>
      <c r="E673" s="59"/>
      <c r="F673" s="127"/>
      <c r="G673" s="129"/>
    </row>
    <row r="674" spans="3:7" ht="12.75">
      <c r="C674" s="1"/>
      <c r="D674" s="1"/>
      <c r="E674" s="59"/>
      <c r="F674" s="127"/>
      <c r="G674" s="129"/>
    </row>
    <row r="675" spans="3:7" ht="12.75">
      <c r="C675" s="1"/>
      <c r="D675" s="1"/>
      <c r="E675" s="59"/>
      <c r="F675" s="127"/>
      <c r="G675" s="129"/>
    </row>
    <row r="676" spans="3:7" ht="12.75">
      <c r="C676" s="1"/>
      <c r="D676" s="1"/>
      <c r="E676" s="59"/>
      <c r="F676" s="127"/>
      <c r="G676" s="129"/>
    </row>
    <row r="677" spans="3:7" ht="12.75">
      <c r="C677" s="1"/>
      <c r="D677" s="1"/>
      <c r="E677" s="59"/>
      <c r="F677" s="127"/>
      <c r="G677" s="129"/>
    </row>
    <row r="678" spans="3:7" ht="12.75">
      <c r="C678" s="1"/>
      <c r="D678" s="1"/>
      <c r="E678" s="59"/>
      <c r="F678" s="127"/>
      <c r="G678" s="129"/>
    </row>
    <row r="679" spans="3:7" ht="12.75">
      <c r="C679" s="1"/>
      <c r="D679" s="1"/>
      <c r="E679" s="59"/>
      <c r="F679" s="127"/>
      <c r="G679" s="129"/>
    </row>
    <row r="680" spans="3:7" ht="12.75">
      <c r="C680" s="1"/>
      <c r="D680" s="1"/>
      <c r="E680" s="59"/>
      <c r="F680" s="127"/>
      <c r="G680" s="129"/>
    </row>
    <row r="681" spans="3:7" ht="12.75">
      <c r="C681" s="1"/>
      <c r="D681" s="1"/>
      <c r="E681" s="59"/>
      <c r="F681" s="127"/>
      <c r="G681" s="129"/>
    </row>
    <row r="682" spans="3:7" ht="12.75">
      <c r="C682" s="1"/>
      <c r="D682" s="1"/>
      <c r="E682" s="59"/>
      <c r="F682" s="127"/>
      <c r="G682" s="129"/>
    </row>
    <row r="683" spans="3:7" ht="12.75">
      <c r="C683" s="1"/>
      <c r="D683" s="1"/>
      <c r="E683" s="59"/>
      <c r="F683" s="127"/>
      <c r="G683" s="129"/>
    </row>
    <row r="684" spans="3:7" ht="12.75">
      <c r="C684" s="1"/>
      <c r="D684" s="1"/>
      <c r="E684" s="59"/>
      <c r="F684" s="59"/>
      <c r="G684" s="129"/>
    </row>
    <row r="685" spans="3:7" ht="12.75">
      <c r="C685" s="1"/>
      <c r="D685" s="1"/>
      <c r="E685" s="59"/>
      <c r="F685" s="59"/>
      <c r="G685" s="129"/>
    </row>
    <row r="686" spans="3:7" ht="12.75">
      <c r="C686" s="1"/>
      <c r="D686" s="1"/>
      <c r="E686" s="59"/>
      <c r="F686" s="59"/>
      <c r="G686" s="129"/>
    </row>
    <row r="687" spans="3:7" ht="12.75">
      <c r="C687" s="1"/>
      <c r="D687" s="1"/>
      <c r="E687" s="59"/>
      <c r="F687" s="59"/>
      <c r="G687" s="129"/>
    </row>
    <row r="688" spans="3:7" ht="12.75">
      <c r="C688" s="1"/>
      <c r="D688" s="1"/>
      <c r="E688" s="59"/>
      <c r="F688" s="59"/>
      <c r="G688" s="129"/>
    </row>
    <row r="689" spans="3:7" ht="12.75">
      <c r="C689" s="1"/>
      <c r="D689" s="1"/>
      <c r="E689" s="59"/>
      <c r="F689" s="59"/>
      <c r="G689" s="129"/>
    </row>
    <row r="690" spans="3:7" ht="12.75">
      <c r="C690" s="1"/>
      <c r="D690" s="1"/>
      <c r="E690" s="59"/>
      <c r="F690" s="59"/>
      <c r="G690" s="129"/>
    </row>
    <row r="691" spans="3:7" ht="12.75">
      <c r="C691" s="1"/>
      <c r="D691" s="1"/>
      <c r="E691" s="59"/>
      <c r="F691" s="59"/>
      <c r="G691" s="129"/>
    </row>
    <row r="692" spans="3:7" ht="12.75">
      <c r="C692" s="1"/>
      <c r="D692" s="1"/>
      <c r="E692" s="59"/>
      <c r="F692" s="59"/>
      <c r="G692" s="129"/>
    </row>
    <row r="693" spans="3:7" ht="12.75">
      <c r="C693" s="1"/>
      <c r="D693" s="1"/>
      <c r="E693" s="59"/>
      <c r="F693" s="59"/>
      <c r="G693" s="129"/>
    </row>
    <row r="694" spans="3:7" ht="12.75">
      <c r="C694" s="1"/>
      <c r="D694" s="1"/>
      <c r="E694" s="59"/>
      <c r="F694" s="59"/>
      <c r="G694" s="129"/>
    </row>
    <row r="695" spans="3:7" ht="12.75">
      <c r="C695" s="1"/>
      <c r="D695" s="1"/>
      <c r="E695" s="59"/>
      <c r="F695" s="59"/>
      <c r="G695" s="129"/>
    </row>
    <row r="696" spans="3:7" ht="12.75">
      <c r="C696" s="1"/>
      <c r="D696" s="1"/>
      <c r="E696" s="59"/>
      <c r="F696" s="59"/>
      <c r="G696" s="129"/>
    </row>
    <row r="697" spans="3:7" ht="12.75">
      <c r="C697" s="1"/>
      <c r="D697" s="1"/>
      <c r="E697" s="59"/>
      <c r="F697" s="59"/>
      <c r="G697" s="129"/>
    </row>
    <row r="698" spans="3:7" ht="12.75">
      <c r="C698" s="1"/>
      <c r="D698" s="1"/>
      <c r="E698" s="59"/>
      <c r="F698" s="59"/>
      <c r="G698" s="129"/>
    </row>
    <row r="699" spans="3:7" ht="12.75">
      <c r="C699" s="1"/>
      <c r="D699" s="1"/>
      <c r="E699" s="59"/>
      <c r="F699" s="59"/>
      <c r="G699" s="129"/>
    </row>
    <row r="700" spans="3:7" ht="12.75">
      <c r="C700" s="1"/>
      <c r="D700" s="1"/>
      <c r="E700" s="59"/>
      <c r="F700" s="59"/>
      <c r="G700" s="129"/>
    </row>
    <row r="701" spans="3:7" ht="12.75">
      <c r="C701" s="1"/>
      <c r="D701" s="1"/>
      <c r="E701" s="59"/>
      <c r="F701" s="59"/>
      <c r="G701" s="129"/>
    </row>
    <row r="702" spans="3:7" ht="12.75">
      <c r="C702" s="1"/>
      <c r="D702" s="1"/>
      <c r="E702" s="59"/>
      <c r="F702" s="59"/>
      <c r="G702" s="129"/>
    </row>
    <row r="703" spans="3:7" ht="12.75">
      <c r="C703" s="1"/>
      <c r="D703" s="1"/>
      <c r="E703" s="59"/>
      <c r="F703" s="59"/>
      <c r="G703" s="129"/>
    </row>
    <row r="704" spans="3:7" ht="12.75">
      <c r="C704" s="1"/>
      <c r="D704" s="1"/>
      <c r="E704" s="59"/>
      <c r="F704" s="59"/>
      <c r="G704" s="129"/>
    </row>
    <row r="705" spans="3:7" ht="12.75">
      <c r="C705" s="1"/>
      <c r="D705" s="1"/>
      <c r="E705" s="59"/>
      <c r="F705" s="59"/>
      <c r="G705" s="129"/>
    </row>
    <row r="706" spans="3:7" ht="12.75">
      <c r="C706" s="1"/>
      <c r="D706" s="1"/>
      <c r="E706" s="59"/>
      <c r="F706" s="59"/>
      <c r="G706" s="129"/>
    </row>
    <row r="707" spans="3:7" ht="12.75">
      <c r="C707" s="1"/>
      <c r="D707" s="1"/>
      <c r="E707" s="59"/>
      <c r="F707" s="59"/>
      <c r="G707" s="129"/>
    </row>
    <row r="708" spans="3:7" ht="12.75">
      <c r="C708" s="1"/>
      <c r="D708" s="1"/>
      <c r="E708" s="59"/>
      <c r="F708" s="59"/>
      <c r="G708" s="129"/>
    </row>
    <row r="709" spans="3:7" ht="12.75">
      <c r="C709" s="1"/>
      <c r="D709" s="1"/>
      <c r="E709" s="59"/>
      <c r="F709" s="59"/>
      <c r="G709" s="129"/>
    </row>
    <row r="710" spans="3:7" ht="12.75">
      <c r="C710" s="1"/>
      <c r="D710" s="1"/>
      <c r="E710" s="59"/>
      <c r="F710" s="59"/>
      <c r="G710" s="129"/>
    </row>
    <row r="711" spans="3:7" ht="12.75">
      <c r="C711" s="1"/>
      <c r="D711" s="1"/>
      <c r="E711" s="59"/>
      <c r="F711" s="59"/>
      <c r="G711" s="129"/>
    </row>
    <row r="712" spans="3:7" ht="12.75">
      <c r="C712" s="1"/>
      <c r="D712" s="1"/>
      <c r="E712" s="59"/>
      <c r="F712" s="59"/>
      <c r="G712" s="129"/>
    </row>
    <row r="713" spans="3:7" ht="12.75">
      <c r="C713" s="1"/>
      <c r="D713" s="1"/>
      <c r="E713" s="59"/>
      <c r="F713" s="59"/>
      <c r="G713" s="129"/>
    </row>
    <row r="714" spans="3:7" ht="12.75">
      <c r="C714" s="1"/>
      <c r="D714" s="1"/>
      <c r="E714" s="59"/>
      <c r="F714" s="127"/>
      <c r="G714" s="129"/>
    </row>
    <row r="715" spans="3:7" ht="12.75">
      <c r="C715" s="1"/>
      <c r="D715" s="1"/>
      <c r="E715" s="59"/>
      <c r="F715" s="127"/>
      <c r="G715" s="129"/>
    </row>
    <row r="716" spans="3:7" ht="12.75">
      <c r="C716" s="1"/>
      <c r="D716" s="1"/>
      <c r="E716" s="59"/>
      <c r="F716" s="127"/>
      <c r="G716" s="129"/>
    </row>
    <row r="717" spans="3:7" ht="12.75">
      <c r="C717" s="1"/>
      <c r="D717" s="1"/>
      <c r="E717" s="59"/>
      <c r="F717" s="127"/>
      <c r="G717" s="129"/>
    </row>
    <row r="718" spans="3:7" ht="12.75">
      <c r="C718" s="1"/>
      <c r="D718" s="1"/>
      <c r="E718" s="59"/>
      <c r="F718" s="127"/>
      <c r="G718" s="129"/>
    </row>
    <row r="719" spans="3:7" ht="12.75">
      <c r="C719" s="1"/>
      <c r="D719" s="1"/>
      <c r="E719" s="59"/>
      <c r="F719" s="127"/>
      <c r="G719" s="129"/>
    </row>
    <row r="720" spans="3:7" ht="12.75">
      <c r="C720" s="1"/>
      <c r="D720" s="1"/>
      <c r="E720" s="59"/>
      <c r="F720" s="127"/>
      <c r="G720" s="129"/>
    </row>
    <row r="721" spans="3:7" ht="12.75">
      <c r="C721" s="1"/>
      <c r="D721" s="1"/>
      <c r="E721" s="59"/>
      <c r="F721" s="127"/>
      <c r="G721" s="129"/>
    </row>
    <row r="722" spans="3:7" ht="12.75">
      <c r="C722" s="1"/>
      <c r="D722" s="1"/>
      <c r="E722" s="59"/>
      <c r="F722" s="127"/>
      <c r="G722" s="129"/>
    </row>
    <row r="723" spans="3:7" ht="12.75">
      <c r="C723" s="1"/>
      <c r="D723" s="1"/>
      <c r="E723" s="59"/>
      <c r="F723" s="127"/>
      <c r="G723" s="129"/>
    </row>
    <row r="724" spans="3:7" ht="12.75">
      <c r="C724" s="1"/>
      <c r="D724" s="1"/>
      <c r="E724" s="59"/>
      <c r="F724" s="127"/>
      <c r="G724" s="129"/>
    </row>
    <row r="725" spans="3:7" ht="12.75">
      <c r="C725" s="1"/>
      <c r="D725" s="1"/>
      <c r="E725" s="59"/>
      <c r="F725" s="127"/>
      <c r="G725" s="129"/>
    </row>
    <row r="726" spans="3:7" ht="12.75">
      <c r="C726" s="1"/>
      <c r="D726" s="1"/>
      <c r="E726" s="59"/>
      <c r="F726" s="127"/>
      <c r="G726" s="129"/>
    </row>
    <row r="727" spans="3:7" ht="12.75">
      <c r="C727" s="1"/>
      <c r="D727" s="1"/>
      <c r="E727" s="59"/>
      <c r="F727" s="127"/>
      <c r="G727" s="129"/>
    </row>
    <row r="728" spans="3:7" ht="12.75">
      <c r="C728" s="1"/>
      <c r="D728" s="1"/>
      <c r="E728" s="59"/>
      <c r="F728" s="127"/>
      <c r="G728" s="129"/>
    </row>
    <row r="729" spans="3:7" ht="12.75">
      <c r="C729" s="1"/>
      <c r="D729" s="1"/>
      <c r="E729" s="59"/>
      <c r="F729" s="127"/>
      <c r="G729" s="129"/>
    </row>
    <row r="730" spans="3:7" ht="12.75">
      <c r="C730" s="1"/>
      <c r="D730" s="1"/>
      <c r="E730" s="59"/>
      <c r="F730" s="127"/>
      <c r="G730" s="129"/>
    </row>
    <row r="731" spans="3:7" ht="12.75">
      <c r="C731" s="1"/>
      <c r="D731" s="1"/>
      <c r="E731" s="59"/>
      <c r="F731" s="127"/>
      <c r="G731" s="129"/>
    </row>
    <row r="732" spans="3:7" ht="12.75">
      <c r="C732" s="1"/>
      <c r="D732" s="1"/>
      <c r="E732" s="59"/>
      <c r="F732" s="127"/>
      <c r="G732" s="129"/>
    </row>
    <row r="733" spans="3:7" ht="12.75">
      <c r="C733" s="1"/>
      <c r="D733" s="1"/>
      <c r="E733" s="59"/>
      <c r="F733" s="127"/>
      <c r="G733" s="129"/>
    </row>
    <row r="734" spans="3:7" ht="12.75">
      <c r="C734" s="1"/>
      <c r="D734" s="1"/>
      <c r="E734" s="59"/>
      <c r="F734" s="127"/>
      <c r="G734" s="129"/>
    </row>
    <row r="735" spans="3:7" ht="12.75">
      <c r="C735" s="1"/>
      <c r="D735" s="1"/>
      <c r="E735" s="59"/>
      <c r="F735" s="127"/>
      <c r="G735" s="129"/>
    </row>
    <row r="736" spans="3:7" ht="12.75">
      <c r="C736" s="1"/>
      <c r="D736" s="1"/>
      <c r="E736" s="59"/>
      <c r="F736" s="127"/>
      <c r="G736" s="129"/>
    </row>
    <row r="737" spans="3:7" ht="12.75">
      <c r="C737" s="1"/>
      <c r="D737" s="1"/>
      <c r="E737" s="59"/>
      <c r="F737" s="127"/>
      <c r="G737" s="129"/>
    </row>
    <row r="738" spans="3:7" ht="12.75">
      <c r="C738" s="1"/>
      <c r="D738" s="1"/>
      <c r="E738" s="59"/>
      <c r="F738" s="127"/>
      <c r="G738" s="129"/>
    </row>
    <row r="739" spans="3:7" ht="12.75">
      <c r="C739" s="1"/>
      <c r="D739" s="1"/>
      <c r="E739" s="59"/>
      <c r="F739" s="127"/>
      <c r="G739" s="129"/>
    </row>
    <row r="740" spans="3:7" ht="12.75">
      <c r="C740" s="1"/>
      <c r="D740" s="1"/>
      <c r="E740" s="59"/>
      <c r="F740" s="127"/>
      <c r="G740" s="129"/>
    </row>
    <row r="741" spans="3:7" ht="12.75">
      <c r="C741" s="1"/>
      <c r="D741" s="1"/>
      <c r="E741" s="59"/>
      <c r="F741" s="127"/>
      <c r="G741" s="129"/>
    </row>
    <row r="742" spans="3:7" ht="12.75">
      <c r="C742" s="1"/>
      <c r="D742" s="1"/>
      <c r="E742" s="59"/>
      <c r="F742" s="127"/>
      <c r="G742" s="129"/>
    </row>
    <row r="743" spans="3:7" ht="12.75">
      <c r="C743" s="1"/>
      <c r="D743" s="1"/>
      <c r="E743" s="59"/>
      <c r="F743" s="127"/>
      <c r="G743" s="129"/>
    </row>
    <row r="744" spans="3:7" ht="12.75">
      <c r="C744" s="1"/>
      <c r="D744" s="1"/>
      <c r="E744" s="59"/>
      <c r="F744" s="59"/>
      <c r="G744" s="129"/>
    </row>
    <row r="745" spans="3:7" ht="12.75">
      <c r="C745" s="1"/>
      <c r="D745" s="1"/>
      <c r="E745" s="59"/>
      <c r="F745" s="59"/>
      <c r="G745" s="129"/>
    </row>
    <row r="746" spans="3:7" ht="12.75">
      <c r="C746" s="1"/>
      <c r="D746" s="1"/>
      <c r="E746" s="59"/>
      <c r="F746" s="59"/>
      <c r="G746" s="129"/>
    </row>
    <row r="747" spans="3:7" ht="12.75">
      <c r="C747" s="1"/>
      <c r="D747" s="1"/>
      <c r="E747" s="59"/>
      <c r="F747" s="59"/>
      <c r="G747" s="129"/>
    </row>
    <row r="748" spans="3:7" ht="12.75">
      <c r="C748" s="1"/>
      <c r="D748" s="1"/>
      <c r="E748" s="59"/>
      <c r="F748" s="59"/>
      <c r="G748" s="129"/>
    </row>
    <row r="749" spans="3:7" ht="12.75">
      <c r="C749" s="1"/>
      <c r="D749" s="1"/>
      <c r="E749" s="59"/>
      <c r="F749" s="59"/>
      <c r="G749" s="129"/>
    </row>
    <row r="750" spans="3:7" ht="12.75">
      <c r="C750" s="1"/>
      <c r="D750" s="1"/>
      <c r="E750" s="59"/>
      <c r="F750" s="59"/>
      <c r="G750" s="129"/>
    </row>
  </sheetData>
  <mergeCells count="197">
    <mergeCell ref="B427:H427"/>
    <mergeCell ref="A405:A425"/>
    <mergeCell ref="A426:C426"/>
    <mergeCell ref="B405:H405"/>
    <mergeCell ref="A427:A432"/>
    <mergeCell ref="A448:H448"/>
    <mergeCell ref="A465:C465"/>
    <mergeCell ref="A434:A445"/>
    <mergeCell ref="A433:C433"/>
    <mergeCell ref="A447:C447"/>
    <mergeCell ref="A446:C446"/>
    <mergeCell ref="D540:G540"/>
    <mergeCell ref="A524:A530"/>
    <mergeCell ref="A355:A356"/>
    <mergeCell ref="A404:C404"/>
    <mergeCell ref="A449:A464"/>
    <mergeCell ref="B434:H434"/>
    <mergeCell ref="E536:F536"/>
    <mergeCell ref="D537:G537"/>
    <mergeCell ref="D538:G538"/>
    <mergeCell ref="D539:G539"/>
    <mergeCell ref="A533:C533"/>
    <mergeCell ref="A520:H520"/>
    <mergeCell ref="B524:H524"/>
    <mergeCell ref="A505:C505"/>
    <mergeCell ref="A509:C509"/>
    <mergeCell ref="B511:H511"/>
    <mergeCell ref="A519:C519"/>
    <mergeCell ref="A518:C518"/>
    <mergeCell ref="B514:H514"/>
    <mergeCell ref="A510:H510"/>
    <mergeCell ref="A532:C532"/>
    <mergeCell ref="A531:C531"/>
    <mergeCell ref="A493:C493"/>
    <mergeCell ref="A494:A500"/>
    <mergeCell ref="A502:A504"/>
    <mergeCell ref="A521:A522"/>
    <mergeCell ref="B521:H521"/>
    <mergeCell ref="A523:C523"/>
    <mergeCell ref="A508:C508"/>
    <mergeCell ref="A501:C501"/>
    <mergeCell ref="A358:A370"/>
    <mergeCell ref="A372:A376"/>
    <mergeCell ref="A371:C371"/>
    <mergeCell ref="A377:C377"/>
    <mergeCell ref="B358:H358"/>
    <mergeCell ref="A322:C322"/>
    <mergeCell ref="A319:C319"/>
    <mergeCell ref="A323:C323"/>
    <mergeCell ref="B351:H351"/>
    <mergeCell ref="B320:H320"/>
    <mergeCell ref="A324:H324"/>
    <mergeCell ref="A350:C350"/>
    <mergeCell ref="A325:A327"/>
    <mergeCell ref="A331:A349"/>
    <mergeCell ref="B325:H325"/>
    <mergeCell ref="B378:H378"/>
    <mergeCell ref="A399:A403"/>
    <mergeCell ref="A388:A397"/>
    <mergeCell ref="A398:C398"/>
    <mergeCell ref="B399:H399"/>
    <mergeCell ref="A385:C385"/>
    <mergeCell ref="A387:H387"/>
    <mergeCell ref="B388:H388"/>
    <mergeCell ref="A386:C386"/>
    <mergeCell ref="A378:A384"/>
    <mergeCell ref="B278:H278"/>
    <mergeCell ref="A320:A321"/>
    <mergeCell ref="A277:C277"/>
    <mergeCell ref="A236:C236"/>
    <mergeCell ref="A293:C293"/>
    <mergeCell ref="A316:A318"/>
    <mergeCell ref="A278:A288"/>
    <mergeCell ref="A266:A276"/>
    <mergeCell ref="A290:A292"/>
    <mergeCell ref="A313:C313"/>
    <mergeCell ref="B84:H84"/>
    <mergeCell ref="A84:A95"/>
    <mergeCell ref="A218:C218"/>
    <mergeCell ref="B266:H266"/>
    <mergeCell ref="A96:C96"/>
    <mergeCell ref="A171:A172"/>
    <mergeCell ref="A120:C120"/>
    <mergeCell ref="B143:G143"/>
    <mergeCell ref="A168:C168"/>
    <mergeCell ref="A169:C169"/>
    <mergeCell ref="C1:G2"/>
    <mergeCell ref="A15:A16"/>
    <mergeCell ref="A51:C51"/>
    <mergeCell ref="A20:A41"/>
    <mergeCell ref="A9:C9"/>
    <mergeCell ref="A7:A8"/>
    <mergeCell ref="A6:H6"/>
    <mergeCell ref="B7:H7"/>
    <mergeCell ref="A3:H3"/>
    <mergeCell ref="A17:C17"/>
    <mergeCell ref="A10:C10"/>
    <mergeCell ref="A12:A13"/>
    <mergeCell ref="A76:A82"/>
    <mergeCell ref="A60:A72"/>
    <mergeCell ref="A74:C74"/>
    <mergeCell ref="A73:C73"/>
    <mergeCell ref="B20:H20"/>
    <mergeCell ref="A44:H44"/>
    <mergeCell ref="B45:H45"/>
    <mergeCell ref="A43:C43"/>
    <mergeCell ref="A52:C52"/>
    <mergeCell ref="B121:H121"/>
    <mergeCell ref="B130:H130"/>
    <mergeCell ref="B76:H76"/>
    <mergeCell ref="A57:A58"/>
    <mergeCell ref="B97:H97"/>
    <mergeCell ref="A53:H53"/>
    <mergeCell ref="A129:C129"/>
    <mergeCell ref="A83:C83"/>
    <mergeCell ref="A121:A128"/>
    <mergeCell ref="A11:H11"/>
    <mergeCell ref="B12:H12"/>
    <mergeCell ref="B15:H15"/>
    <mergeCell ref="A19:H19"/>
    <mergeCell ref="A14:C14"/>
    <mergeCell ref="A18:C18"/>
    <mergeCell ref="A42:C42"/>
    <mergeCell ref="A315:H315"/>
    <mergeCell ref="B316:H316"/>
    <mergeCell ref="A174:A175"/>
    <mergeCell ref="A138:C138"/>
    <mergeCell ref="A143:A167"/>
    <mergeCell ref="A173:C173"/>
    <mergeCell ref="B294:H294"/>
    <mergeCell ref="A299:H299"/>
    <mergeCell ref="A176:C176"/>
    <mergeCell ref="B331:H331"/>
    <mergeCell ref="A357:C357"/>
    <mergeCell ref="A330:C330"/>
    <mergeCell ref="B355:H355"/>
    <mergeCell ref="A354:C354"/>
    <mergeCell ref="A481:A492"/>
    <mergeCell ref="B449:H449"/>
    <mergeCell ref="B506:H506"/>
    <mergeCell ref="A466:A479"/>
    <mergeCell ref="A506:A507"/>
    <mergeCell ref="B502:H502"/>
    <mergeCell ref="A480:C480"/>
    <mergeCell ref="A314:C314"/>
    <mergeCell ref="B300:H300"/>
    <mergeCell ref="A297:C297"/>
    <mergeCell ref="A294:A296"/>
    <mergeCell ref="A298:C298"/>
    <mergeCell ref="B290:H290"/>
    <mergeCell ref="A300:A312"/>
    <mergeCell ref="D541:G541"/>
    <mergeCell ref="A45:A50"/>
    <mergeCell ref="A514:A517"/>
    <mergeCell ref="A513:C513"/>
    <mergeCell ref="A511:A512"/>
    <mergeCell ref="B237:H237"/>
    <mergeCell ref="B372:H372"/>
    <mergeCell ref="A351:A353"/>
    <mergeCell ref="A265:C265"/>
    <mergeCell ref="A289:C289"/>
    <mergeCell ref="A177:C177"/>
    <mergeCell ref="B54:H54"/>
    <mergeCell ref="B57:H57"/>
    <mergeCell ref="B60:H60"/>
    <mergeCell ref="A75:H75"/>
    <mergeCell ref="A59:C59"/>
    <mergeCell ref="A54:A55"/>
    <mergeCell ref="A56:C56"/>
    <mergeCell ref="A130:A136"/>
    <mergeCell ref="A137:C137"/>
    <mergeCell ref="A139:H139"/>
    <mergeCell ref="A170:H170"/>
    <mergeCell ref="B171:H171"/>
    <mergeCell ref="B174:H174"/>
    <mergeCell ref="A140:A141"/>
    <mergeCell ref="B140:G140"/>
    <mergeCell ref="A142:C142"/>
    <mergeCell ref="A534:E534"/>
    <mergeCell ref="A97:A119"/>
    <mergeCell ref="B466:H466"/>
    <mergeCell ref="B481:H481"/>
    <mergeCell ref="B494:H494"/>
    <mergeCell ref="A183:H183"/>
    <mergeCell ref="B184:H184"/>
    <mergeCell ref="B204:H204"/>
    <mergeCell ref="B219:H219"/>
    <mergeCell ref="A219:A235"/>
    <mergeCell ref="A178:H178"/>
    <mergeCell ref="A237:A264"/>
    <mergeCell ref="A179:A180"/>
    <mergeCell ref="B179:H179"/>
    <mergeCell ref="A181:C181"/>
    <mergeCell ref="A182:C182"/>
    <mergeCell ref="A204:A217"/>
    <mergeCell ref="A203:C203"/>
    <mergeCell ref="A184:A202"/>
  </mergeCells>
  <printOptions horizontalCentered="1"/>
  <pageMargins left="1.1811023622047245" right="0.7874015748031497" top="0.5905511811023623" bottom="0.3937007874015748" header="0.15748031496062992" footer="0.5118110236220472"/>
  <pageSetup horizontalDpi="300" verticalDpi="300" orientation="portrait" paperSize="9" scale="76" r:id="rId1"/>
  <rowBreaks count="10" manualBreakCount="10">
    <brk id="52" max="7" man="1"/>
    <brk id="120" max="7" man="1"/>
    <brk id="177" max="7" man="1"/>
    <brk id="236" max="7" man="1"/>
    <brk id="298" max="7" man="1"/>
    <brk id="357" max="7" man="1"/>
    <brk id="426" max="7" man="1"/>
    <brk id="480" max="7" man="1"/>
    <brk id="541" max="6" man="1"/>
    <brk id="54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tabSelected="1" workbookViewId="0" topLeftCell="B61">
      <selection activeCell="F83" sqref="F83"/>
    </sheetView>
  </sheetViews>
  <sheetFormatPr defaultColWidth="9.00390625" defaultRowHeight="12.75"/>
  <cols>
    <col min="1" max="1" width="8.25390625" style="0" customWidth="1"/>
    <col min="2" max="2" width="46.625" style="0" customWidth="1"/>
    <col min="3" max="3" width="13.875" style="0" customWidth="1"/>
    <col min="4" max="4" width="15.25390625" style="0" customWidth="1"/>
    <col min="5" max="5" width="10.875" style="0" customWidth="1"/>
    <col min="6" max="6" width="11.875" style="0" customWidth="1"/>
  </cols>
  <sheetData>
    <row r="1" spans="1:4" ht="13.5" thickBot="1">
      <c r="A1" s="267" t="s">
        <v>180</v>
      </c>
      <c r="B1" s="267"/>
      <c r="C1" s="267"/>
      <c r="D1" s="267"/>
    </row>
    <row r="2" spans="1:6" ht="39.75" thickBot="1" thickTop="1">
      <c r="A2" s="25" t="s">
        <v>18</v>
      </c>
      <c r="B2" s="26" t="s">
        <v>177</v>
      </c>
      <c r="C2" s="73" t="s">
        <v>250</v>
      </c>
      <c r="D2" s="27" t="s">
        <v>251</v>
      </c>
      <c r="E2" s="25" t="s">
        <v>214</v>
      </c>
      <c r="F2" s="74" t="s">
        <v>215</v>
      </c>
    </row>
    <row r="3" spans="1:6" ht="24.75" thickTop="1">
      <c r="A3" s="75">
        <v>2310</v>
      </c>
      <c r="B3" s="76" t="s">
        <v>143</v>
      </c>
      <c r="C3" s="79">
        <f>a!D98+a!D131</f>
        <v>2236</v>
      </c>
      <c r="D3" s="79">
        <f>a!G98+a!G131</f>
        <v>6500</v>
      </c>
      <c r="E3" s="85">
        <f>D3/C3</f>
        <v>2.9069767441860463</v>
      </c>
      <c r="F3" s="86">
        <f aca="true" t="shared" si="0" ref="F3:F34">D3/$D$78</f>
        <v>0.00019937119551833183</v>
      </c>
    </row>
    <row r="4" spans="1:6" ht="12.75">
      <c r="A4" s="29">
        <v>2320</v>
      </c>
      <c r="B4" s="14" t="s">
        <v>107</v>
      </c>
      <c r="C4" s="44">
        <f>a!D238+a!D326+a!D352</f>
        <v>710710</v>
      </c>
      <c r="D4" s="44">
        <f>a!G238+a!G326+a!G352</f>
        <v>821117</v>
      </c>
      <c r="E4" s="88">
        <f aca="true" t="shared" si="1" ref="E4:E77">D4/C4</f>
        <v>1.1553474694319765</v>
      </c>
      <c r="F4" s="114">
        <f t="shared" si="0"/>
        <v>0.02518570430006555</v>
      </c>
    </row>
    <row r="5" spans="1:6" ht="36">
      <c r="A5" s="29">
        <v>2580</v>
      </c>
      <c r="B5" s="11" t="s">
        <v>112</v>
      </c>
      <c r="C5" s="46">
        <f>a!D332</f>
        <v>934906</v>
      </c>
      <c r="D5" s="46">
        <f>a!G332</f>
        <v>881458</v>
      </c>
      <c r="E5" s="88">
        <f t="shared" si="1"/>
        <v>0.9428306161261132</v>
      </c>
      <c r="F5" s="114">
        <f t="shared" si="0"/>
        <v>0.02703651311679965</v>
      </c>
    </row>
    <row r="6" spans="1:6" ht="12.75">
      <c r="A6" s="29">
        <v>2630</v>
      </c>
      <c r="B6" s="11" t="s">
        <v>258</v>
      </c>
      <c r="C6" s="46">
        <f>a!D515+a!D132</f>
        <v>3000</v>
      </c>
      <c r="D6" s="46">
        <f>a!G515+a!G132</f>
        <v>2000</v>
      </c>
      <c r="E6" s="88">
        <f t="shared" si="1"/>
        <v>0.6666666666666666</v>
      </c>
      <c r="F6" s="114">
        <f t="shared" si="0"/>
        <v>6.13449832364098E-05</v>
      </c>
    </row>
    <row r="7" spans="1:6" ht="24">
      <c r="A7" s="29">
        <v>2820</v>
      </c>
      <c r="B7" s="11" t="s">
        <v>252</v>
      </c>
      <c r="C7" s="46">
        <f>a!D133+a!D522</f>
        <v>6000</v>
      </c>
      <c r="D7" s="46">
        <f>a!G133+a!G522</f>
        <v>5000</v>
      </c>
      <c r="E7" s="88">
        <f t="shared" si="1"/>
        <v>0.8333333333333334</v>
      </c>
      <c r="F7" s="114">
        <f t="shared" si="0"/>
        <v>0.0001533624580910245</v>
      </c>
    </row>
    <row r="8" spans="1:6" ht="25.5">
      <c r="A8" s="29">
        <v>2910</v>
      </c>
      <c r="B8" s="69" t="s">
        <v>256</v>
      </c>
      <c r="C8" s="46">
        <f>a!D301</f>
        <v>600</v>
      </c>
      <c r="D8" s="46">
        <f>a!G301</f>
        <v>0</v>
      </c>
      <c r="E8" s="88">
        <f t="shared" si="1"/>
        <v>0</v>
      </c>
      <c r="F8" s="114">
        <f t="shared" si="0"/>
        <v>0</v>
      </c>
    </row>
    <row r="9" spans="1:6" ht="12.75">
      <c r="A9" s="29">
        <v>3020</v>
      </c>
      <c r="B9" s="14" t="s">
        <v>138</v>
      </c>
      <c r="C9" s="46">
        <f>a!D21+a!D185+a!D220+a!D450+a!D467+a!D99+a!D239+a!D205+a!D267+a!D359+a!D333</f>
        <v>147588</v>
      </c>
      <c r="D9" s="46">
        <f>a!G21+a!G185+a!G220+a!G450+a!G467+a!G99+a!G239+a!G205+a!G267+a!G359+a!G333</f>
        <v>164630</v>
      </c>
      <c r="E9" s="88">
        <f t="shared" si="1"/>
        <v>1.1154700924194378</v>
      </c>
      <c r="F9" s="114">
        <f t="shared" si="0"/>
        <v>0.0050496122951050725</v>
      </c>
    </row>
    <row r="10" spans="1:6" ht="12.75">
      <c r="A10" s="29">
        <v>3030</v>
      </c>
      <c r="B10" s="11" t="s">
        <v>77</v>
      </c>
      <c r="C10" s="46">
        <f>a!D85+a!D122+a!D292+a!D451+a!D525+a!D13+a!D504+a!D206</f>
        <v>340167</v>
      </c>
      <c r="D10" s="46">
        <f>a!G85+a!G122+a!G292+a!G451+a!G525+a!G13+a!G504+a!G206</f>
        <v>380971</v>
      </c>
      <c r="E10" s="88">
        <f t="shared" si="1"/>
        <v>1.1199528466900082</v>
      </c>
      <c r="F10" s="114">
        <f t="shared" si="0"/>
        <v>0.011685329804279138</v>
      </c>
    </row>
    <row r="11" spans="1:6" ht="12.75">
      <c r="A11" s="29">
        <v>3070</v>
      </c>
      <c r="B11" s="11" t="s">
        <v>219</v>
      </c>
      <c r="C11" s="46">
        <f>a!D144</f>
        <v>155600</v>
      </c>
      <c r="D11" s="46">
        <f>a!G144</f>
        <v>180000</v>
      </c>
      <c r="E11" s="88">
        <f t="shared" si="1"/>
        <v>1.1568123393316196</v>
      </c>
      <c r="F11" s="114">
        <f t="shared" si="0"/>
        <v>0.005521048491276882</v>
      </c>
    </row>
    <row r="12" spans="1:6" ht="12.75">
      <c r="A12" s="29">
        <v>3110</v>
      </c>
      <c r="B12" s="11" t="s">
        <v>113</v>
      </c>
      <c r="C12" s="46">
        <f>a!D327+a!D353+a!D356</f>
        <v>407040</v>
      </c>
      <c r="D12" s="46">
        <f>a!G327+a!G353+a!G356</f>
        <v>460683</v>
      </c>
      <c r="E12" s="88">
        <f t="shared" si="1"/>
        <v>1.1317880306603774</v>
      </c>
      <c r="F12" s="114">
        <f t="shared" si="0"/>
        <v>0.014130295456149487</v>
      </c>
    </row>
    <row r="13" spans="1:6" ht="12.75">
      <c r="A13" s="29">
        <v>3118</v>
      </c>
      <c r="B13" s="11" t="s">
        <v>113</v>
      </c>
      <c r="C13" s="46">
        <f>a!D435</f>
        <v>0</v>
      </c>
      <c r="D13" s="46">
        <f>a!G435</f>
        <v>165405</v>
      </c>
      <c r="E13" s="88"/>
      <c r="F13" s="114">
        <f t="shared" si="0"/>
        <v>0.005073383476109181</v>
      </c>
    </row>
    <row r="14" spans="1:6" ht="12.75">
      <c r="A14" s="29">
        <v>3119</v>
      </c>
      <c r="B14" s="11" t="s">
        <v>113</v>
      </c>
      <c r="C14" s="46">
        <f>a!D436</f>
        <v>0</v>
      </c>
      <c r="D14" s="46">
        <f>a!G436</f>
        <v>41351</v>
      </c>
      <c r="E14" s="88"/>
      <c r="F14" s="114">
        <f t="shared" si="0"/>
        <v>0.0012683382009043907</v>
      </c>
    </row>
    <row r="15" spans="1:6" ht="12.75">
      <c r="A15" s="29">
        <v>3210</v>
      </c>
      <c r="B15" s="69" t="s">
        <v>241</v>
      </c>
      <c r="C15" s="46">
        <f>a!D302</f>
        <v>16687</v>
      </c>
      <c r="D15" s="46">
        <f>a!G302</f>
        <v>0</v>
      </c>
      <c r="E15" s="88">
        <f t="shared" si="1"/>
        <v>0</v>
      </c>
      <c r="F15" s="114">
        <f t="shared" si="0"/>
        <v>0</v>
      </c>
    </row>
    <row r="16" spans="1:6" ht="12.75">
      <c r="A16" s="29">
        <v>3218</v>
      </c>
      <c r="B16" s="69" t="s">
        <v>241</v>
      </c>
      <c r="C16" s="46">
        <f>a!D303</f>
        <v>21685</v>
      </c>
      <c r="D16" s="46">
        <f>a!G303</f>
        <v>19950</v>
      </c>
      <c r="E16" s="88">
        <f t="shared" si="1"/>
        <v>0.9199907770348167</v>
      </c>
      <c r="F16" s="114">
        <f t="shared" si="0"/>
        <v>0.0006119162077831877</v>
      </c>
    </row>
    <row r="17" spans="1:6" ht="12.75">
      <c r="A17" s="29">
        <v>3219</v>
      </c>
      <c r="B17" s="69" t="s">
        <v>241</v>
      </c>
      <c r="C17" s="46">
        <f>a!D304</f>
        <v>7228</v>
      </c>
      <c r="D17" s="46">
        <f>a!G304</f>
        <v>6650</v>
      </c>
      <c r="E17" s="88">
        <f t="shared" si="1"/>
        <v>0.9200332042058661</v>
      </c>
      <c r="F17" s="114">
        <f t="shared" si="0"/>
        <v>0.00020397206926106256</v>
      </c>
    </row>
    <row r="18" spans="1:6" ht="12.75">
      <c r="A18" s="29">
        <v>3240</v>
      </c>
      <c r="B18" s="11" t="s">
        <v>117</v>
      </c>
      <c r="C18" s="44">
        <f>a!D482</f>
        <v>23984</v>
      </c>
      <c r="D18" s="44">
        <f>a!G482</f>
        <v>25597</v>
      </c>
      <c r="E18" s="88">
        <f t="shared" si="1"/>
        <v>1.0672531687791862</v>
      </c>
      <c r="F18" s="114">
        <f t="shared" si="0"/>
        <v>0.0007851237679511907</v>
      </c>
    </row>
    <row r="19" spans="1:6" ht="12.75">
      <c r="A19" s="29">
        <v>3248</v>
      </c>
      <c r="B19" s="11" t="s">
        <v>117</v>
      </c>
      <c r="C19" s="44">
        <f>a!D483</f>
        <v>194410</v>
      </c>
      <c r="D19" s="44">
        <f>a!G483</f>
        <v>118749</v>
      </c>
      <c r="E19" s="88">
        <f t="shared" si="1"/>
        <v>0.6108173447867908</v>
      </c>
      <c r="F19" s="114">
        <f t="shared" si="0"/>
        <v>0.0036423277071702133</v>
      </c>
    </row>
    <row r="20" spans="1:6" ht="12.75">
      <c r="A20" s="29">
        <v>3249</v>
      </c>
      <c r="B20" s="11" t="s">
        <v>117</v>
      </c>
      <c r="C20" s="44">
        <f>a!D484</f>
        <v>41041</v>
      </c>
      <c r="D20" s="44">
        <f>a!G484</f>
        <v>55754</v>
      </c>
      <c r="E20" s="88">
        <f t="shared" si="1"/>
        <v>1.358495163373212</v>
      </c>
      <c r="F20" s="114">
        <f t="shared" si="0"/>
        <v>0.0017101140976813957</v>
      </c>
    </row>
    <row r="21" spans="1:6" ht="12.75">
      <c r="A21" s="30">
        <v>4010</v>
      </c>
      <c r="B21" s="11" t="s">
        <v>64</v>
      </c>
      <c r="C21" s="46">
        <f>a!D22+a!D61+a!D77+a!D86+a!D100+a!D145+a!D186+a!D207+a!D221+a!D334+a!D452+a!D468+a!D240+a!D406+a!D268+a!D360+a!D389+a!D428+a!D495</f>
        <v>11402870</v>
      </c>
      <c r="D21" s="46">
        <f>a!G22+a!G61+a!G77+a!G86+a!G100+a!G145+a!G186+a!G207+a!G221+a!G334+a!G452+a!G468+a!G240+a!G406+a!G268+a!G360+a!G389+a!G428+a!G495</f>
        <v>12446078</v>
      </c>
      <c r="E21" s="88">
        <f t="shared" si="1"/>
        <v>1.0914864415712886</v>
      </c>
      <c r="F21" s="114">
        <f t="shared" si="0"/>
        <v>0.38175222313452434</v>
      </c>
    </row>
    <row r="22" spans="1:6" ht="12.75">
      <c r="A22" s="30">
        <v>4018</v>
      </c>
      <c r="B22" s="11" t="s">
        <v>64</v>
      </c>
      <c r="C22" s="46">
        <f>a!D407</f>
        <v>21325</v>
      </c>
      <c r="D22" s="46">
        <f>a!G407</f>
        <v>28700</v>
      </c>
      <c r="E22" s="88">
        <f t="shared" si="1"/>
        <v>1.3458382180539272</v>
      </c>
      <c r="F22" s="114">
        <f t="shared" si="0"/>
        <v>0.0008803005094424806</v>
      </c>
    </row>
    <row r="23" spans="1:6" ht="12.75">
      <c r="A23" s="30">
        <v>4019</v>
      </c>
      <c r="B23" s="11" t="s">
        <v>64</v>
      </c>
      <c r="C23" s="46">
        <f>a!D408</f>
        <v>7827</v>
      </c>
      <c r="D23" s="46">
        <f>a!G408</f>
        <v>10500</v>
      </c>
      <c r="E23" s="88">
        <f t="shared" si="1"/>
        <v>1.3415101571483328</v>
      </c>
      <c r="F23" s="114">
        <f t="shared" si="0"/>
        <v>0.0003220611619911514</v>
      </c>
    </row>
    <row r="24" spans="1:6" ht="12.75">
      <c r="A24" s="30">
        <v>4020</v>
      </c>
      <c r="B24" s="11" t="s">
        <v>166</v>
      </c>
      <c r="C24" s="46">
        <f>a!D62</f>
        <v>46282</v>
      </c>
      <c r="D24" s="46">
        <f>a!G62</f>
        <v>66000</v>
      </c>
      <c r="E24" s="88">
        <f t="shared" si="1"/>
        <v>1.4260403612635582</v>
      </c>
      <c r="F24" s="114">
        <f t="shared" si="0"/>
        <v>0.002024384446801523</v>
      </c>
    </row>
    <row r="25" spans="1:6" ht="12.75">
      <c r="A25" s="30">
        <v>4040</v>
      </c>
      <c r="B25" s="11" t="s">
        <v>85</v>
      </c>
      <c r="C25" s="46">
        <f>a!D23+a!D63+a!D78+a!D87+a!D101+a!D146+a!D187+a!D208+a!D222+a!D335+a!D453+a!D469+a!D241+a!D409+a!D269+a!D361+a!D429+a!D390</f>
        <v>860099</v>
      </c>
      <c r="D25" s="46">
        <f>a!G23+a!G63+a!G78+a!G87+a!G101+a!G146+a!G187+a!G208+a!G222+a!G335+a!G453+a!G469+a!G241+a!G409+a!G269+a!G361+a!G429+a!G390</f>
        <v>1005060</v>
      </c>
      <c r="E25" s="88">
        <f t="shared" si="1"/>
        <v>1.168539900639345</v>
      </c>
      <c r="F25" s="114">
        <f t="shared" si="0"/>
        <v>0.030827694425793015</v>
      </c>
    </row>
    <row r="26" spans="1:6" ht="12.75">
      <c r="A26" s="30">
        <v>4048</v>
      </c>
      <c r="B26" s="11" t="s">
        <v>85</v>
      </c>
      <c r="C26" s="46">
        <f>a!D410</f>
        <v>0</v>
      </c>
      <c r="D26" s="46">
        <f>a!G410</f>
        <v>2300</v>
      </c>
      <c r="E26" s="88"/>
      <c r="F26" s="114">
        <f t="shared" si="0"/>
        <v>7.054673072187126E-05</v>
      </c>
    </row>
    <row r="27" spans="1:6" ht="12.75">
      <c r="A27" s="30">
        <v>4049</v>
      </c>
      <c r="B27" s="11" t="s">
        <v>85</v>
      </c>
      <c r="C27" s="46">
        <f>a!D411</f>
        <v>0</v>
      </c>
      <c r="D27" s="46">
        <f>a!G411</f>
        <v>900</v>
      </c>
      <c r="E27" s="88"/>
      <c r="F27" s="114">
        <f t="shared" si="0"/>
        <v>2.7605242456384408E-05</v>
      </c>
    </row>
    <row r="28" spans="1:6" ht="12.75">
      <c r="A28" s="30">
        <v>4050</v>
      </c>
      <c r="B28" s="11" t="s">
        <v>89</v>
      </c>
      <c r="C28" s="46">
        <f>a!D147</f>
        <v>1142300</v>
      </c>
      <c r="D28" s="46">
        <f>a!G147</f>
        <v>1178800</v>
      </c>
      <c r="E28" s="88">
        <f t="shared" si="1"/>
        <v>1.0319530771250984</v>
      </c>
      <c r="F28" s="114">
        <f t="shared" si="0"/>
        <v>0.03615673311953993</v>
      </c>
    </row>
    <row r="29" spans="1:6" ht="12.75">
      <c r="A29" s="30">
        <v>4060</v>
      </c>
      <c r="B29" s="11" t="s">
        <v>90</v>
      </c>
      <c r="C29" s="46">
        <f>a!D148</f>
        <v>108846</v>
      </c>
      <c r="D29" s="46">
        <f>a!G148</f>
        <v>69000</v>
      </c>
      <c r="E29" s="88">
        <f t="shared" si="1"/>
        <v>0.6339231574885619</v>
      </c>
      <c r="F29" s="114">
        <f t="shared" si="0"/>
        <v>0.002116401921656138</v>
      </c>
    </row>
    <row r="30" spans="1:6" ht="12.75">
      <c r="A30" s="30">
        <v>4070</v>
      </c>
      <c r="B30" s="11" t="s">
        <v>91</v>
      </c>
      <c r="C30" s="46">
        <f>a!D149</f>
        <v>93495</v>
      </c>
      <c r="D30" s="46">
        <f>a!G149</f>
        <v>99300</v>
      </c>
      <c r="E30" s="88">
        <f t="shared" si="1"/>
        <v>1.062088881758383</v>
      </c>
      <c r="F30" s="114">
        <f t="shared" si="0"/>
        <v>0.0030457784176877462</v>
      </c>
    </row>
    <row r="31" spans="1:6" ht="12.75">
      <c r="A31" s="30">
        <v>4110</v>
      </c>
      <c r="B31" s="11" t="s">
        <v>84</v>
      </c>
      <c r="C31" s="46">
        <f>a!D24+a!D64+a!D79+a!D88+a!D102+a!D150+a!D188+a!D209+a!D223+a!D336+a!D454+a!D470+a!D242+a!D412+a!D270+a!D362+a!D373+a!D391+a!D430+a!D496+a!D279+a!D124</f>
        <v>2073967</v>
      </c>
      <c r="D31" s="46">
        <f>a!G24+a!G64+a!G79+a!G88+a!G102+a!G150+a!G188+a!G209+a!G223+a!G336+a!G454+a!G470+a!G242+a!G412+a!G270+a!G362+a!G373+a!G391+a!G430+a!G496+a!G279+a!G124</f>
        <v>2369285</v>
      </c>
      <c r="E31" s="88">
        <f t="shared" si="1"/>
        <v>1.1423928153148049</v>
      </c>
      <c r="F31" s="114">
        <f t="shared" si="0"/>
        <v>0.07267187430363858</v>
      </c>
    </row>
    <row r="32" spans="1:6" ht="12.75">
      <c r="A32" s="30">
        <v>4118</v>
      </c>
      <c r="B32" s="11" t="s">
        <v>84</v>
      </c>
      <c r="C32" s="46">
        <f>a!D305+a!D413+a!D437+a!D485</f>
        <v>4700</v>
      </c>
      <c r="D32" s="46">
        <f>a!G305+a!G413+a!G437+a!G485</f>
        <v>55532</v>
      </c>
      <c r="E32" s="88">
        <f t="shared" si="1"/>
        <v>11.81531914893617</v>
      </c>
      <c r="F32" s="114">
        <f t="shared" si="0"/>
        <v>0.0017033048045421544</v>
      </c>
    </row>
    <row r="33" spans="1:6" ht="12.75">
      <c r="A33" s="30">
        <v>4119</v>
      </c>
      <c r="B33" s="11" t="s">
        <v>84</v>
      </c>
      <c r="C33" s="46">
        <f>a!D306+a!D414+a!D438+a!D486</f>
        <v>1608</v>
      </c>
      <c r="D33" s="46">
        <f>a!G306+a!G414+a!G438+a!G486</f>
        <v>14721</v>
      </c>
      <c r="E33" s="88">
        <f t="shared" si="1"/>
        <v>9.154850746268657</v>
      </c>
      <c r="F33" s="114">
        <f t="shared" si="0"/>
        <v>0.0004515297491115943</v>
      </c>
    </row>
    <row r="34" spans="1:6" ht="12.75">
      <c r="A34" s="30">
        <v>4120</v>
      </c>
      <c r="B34" s="11" t="s">
        <v>83</v>
      </c>
      <c r="C34" s="46">
        <f>a!D25+a!D65+a!D80+a!D89+a!D103+a!D125+a!D151+a!D189+a!D210+a!D224+a!D243+a!D271+a!D280+a!D337+a!D363+a!D374+a!D392+a!D415+a!D431+a!D455+a!D471+a!D497</f>
        <v>312882</v>
      </c>
      <c r="D34" s="46">
        <f>a!G25+a!G65+a!G80+a!G89+a!G103+a!G125+a!G151+a!G189+a!G210+a!G224+a!G243+a!G271+a!G280+a!G337+a!G363+a!G374+a!G392+a!G415+a!G431+a!G455+a!G471+a!G497</f>
        <v>333494</v>
      </c>
      <c r="E34" s="88">
        <f t="shared" si="1"/>
        <v>1.0658778708906234</v>
      </c>
      <c r="F34" s="114">
        <f t="shared" si="0"/>
        <v>0.010229091919721624</v>
      </c>
    </row>
    <row r="35" spans="1:6" ht="12.75">
      <c r="A35" s="30">
        <v>4128</v>
      </c>
      <c r="B35" s="11" t="s">
        <v>83</v>
      </c>
      <c r="C35" s="46">
        <f>a!D307+a!D416+a!D487</f>
        <v>667</v>
      </c>
      <c r="D35" s="46">
        <f>a!G307+a!G416+a!G487</f>
        <v>901</v>
      </c>
      <c r="E35" s="88">
        <f t="shared" si="1"/>
        <v>1.3508245877061469</v>
      </c>
      <c r="F35" s="114">
        <f aca="true" t="shared" si="2" ref="F35:F55">D35/$D$78</f>
        <v>2.763591494800261E-05</v>
      </c>
    </row>
    <row r="36" spans="1:6" ht="12.75">
      <c r="A36" s="30">
        <v>4129</v>
      </c>
      <c r="B36" s="11" t="s">
        <v>83</v>
      </c>
      <c r="C36" s="46">
        <f>a!D310+a!D417+a!D488</f>
        <v>227</v>
      </c>
      <c r="D36" s="46">
        <f>a!G310+a!G417+a!G488</f>
        <v>349</v>
      </c>
      <c r="E36" s="88">
        <f t="shared" si="1"/>
        <v>1.5374449339207048</v>
      </c>
      <c r="F36" s="114">
        <f t="shared" si="2"/>
        <v>1.0704699574753508E-05</v>
      </c>
    </row>
    <row r="37" spans="1:6" ht="12.75">
      <c r="A37" s="30">
        <v>4130</v>
      </c>
      <c r="B37" s="14" t="s">
        <v>84</v>
      </c>
      <c r="C37" s="46">
        <f>a!D321</f>
        <v>815000</v>
      </c>
      <c r="D37" s="46">
        <f>a!G321</f>
        <v>663200</v>
      </c>
      <c r="E37" s="88">
        <f t="shared" si="1"/>
        <v>0.8137423312883436</v>
      </c>
      <c r="F37" s="114">
        <f t="shared" si="2"/>
        <v>0.02034199644119349</v>
      </c>
    </row>
    <row r="38" spans="1:6" ht="12.75">
      <c r="A38" s="30">
        <v>4140</v>
      </c>
      <c r="B38" s="11" t="s">
        <v>86</v>
      </c>
      <c r="C38" s="44">
        <f>a!D244+a!D105</f>
        <v>1000</v>
      </c>
      <c r="D38" s="44">
        <f>a!G244+a!G105</f>
        <v>22400</v>
      </c>
      <c r="E38" s="88">
        <f t="shared" si="1"/>
        <v>22.4</v>
      </c>
      <c r="F38" s="114">
        <f t="shared" si="2"/>
        <v>0.0006870638122477897</v>
      </c>
    </row>
    <row r="39" spans="1:6" ht="24">
      <c r="A39" s="30">
        <v>4160</v>
      </c>
      <c r="B39" s="61" t="s">
        <v>244</v>
      </c>
      <c r="C39" s="44">
        <f>a!D317</f>
        <v>132685</v>
      </c>
      <c r="D39" s="44">
        <f>a!G317</f>
        <v>0</v>
      </c>
      <c r="E39" s="88">
        <f t="shared" si="1"/>
        <v>0</v>
      </c>
      <c r="F39" s="114">
        <f t="shared" si="2"/>
        <v>0</v>
      </c>
    </row>
    <row r="40" spans="1:6" ht="12.75">
      <c r="A40" s="30">
        <v>4170</v>
      </c>
      <c r="B40" s="11" t="s">
        <v>205</v>
      </c>
      <c r="C40" s="44">
        <f>a!D123+a!D190+a!D225+a!D245+a!D375+a!D393+a!D456+a!D46+a!D66+a!D104+a!D152+a!D281+a!D526+a!D90</f>
        <v>196587</v>
      </c>
      <c r="D40" s="44">
        <f>a!G123+a!G190+a!G225+a!G245+a!G375+a!G393+a!G456+a!G46+a!G66+a!G104+a!G152+a!G281+a!G526+a!G90</f>
        <v>164700</v>
      </c>
      <c r="E40" s="88">
        <f t="shared" si="1"/>
        <v>0.8377970059057822</v>
      </c>
      <c r="F40" s="114">
        <f t="shared" si="2"/>
        <v>0.005051759369518347</v>
      </c>
    </row>
    <row r="41" spans="1:6" ht="12.75">
      <c r="A41" s="30">
        <v>4178</v>
      </c>
      <c r="B41" s="11" t="s">
        <v>205</v>
      </c>
      <c r="C41" s="44">
        <f>a!D489+a!D379+a!D308</f>
        <v>124999</v>
      </c>
      <c r="D41" s="44">
        <f>a!G489+a!G379+a!G308</f>
        <v>66395</v>
      </c>
      <c r="E41" s="88">
        <f t="shared" si="1"/>
        <v>0.5311642493139945</v>
      </c>
      <c r="F41" s="114">
        <f t="shared" si="2"/>
        <v>0.0020365000809907143</v>
      </c>
    </row>
    <row r="42" spans="1:6" ht="12.75">
      <c r="A42" s="30">
        <v>4179</v>
      </c>
      <c r="B42" s="11" t="s">
        <v>205</v>
      </c>
      <c r="C42" s="44">
        <f>a!D490+a!D309</f>
        <v>1457</v>
      </c>
      <c r="D42" s="44">
        <f>a!G490+a!G309</f>
        <v>1941</v>
      </c>
      <c r="E42" s="88">
        <f t="shared" si="1"/>
        <v>1.3321894303363075</v>
      </c>
      <c r="F42" s="114">
        <f t="shared" si="2"/>
        <v>5.95353062309357E-05</v>
      </c>
    </row>
    <row r="43" spans="1:6" ht="12.75">
      <c r="A43" s="30">
        <v>4180</v>
      </c>
      <c r="B43" s="11" t="s">
        <v>220</v>
      </c>
      <c r="C43" s="44">
        <f>a!D153</f>
        <v>77253</v>
      </c>
      <c r="D43" s="44">
        <f>a!G153</f>
        <v>94000</v>
      </c>
      <c r="E43" s="88">
        <f t="shared" si="1"/>
        <v>1.2167812253245829</v>
      </c>
      <c r="F43" s="114">
        <f t="shared" si="2"/>
        <v>0.0028832142121112602</v>
      </c>
    </row>
    <row r="44" spans="1:6" ht="12.75">
      <c r="A44" s="30">
        <v>4190</v>
      </c>
      <c r="B44" s="11" t="s">
        <v>212</v>
      </c>
      <c r="C44" s="44">
        <f>a!D26</f>
        <v>29800</v>
      </c>
      <c r="D44" s="44">
        <f>a!G26</f>
        <v>32300</v>
      </c>
      <c r="E44" s="88">
        <f t="shared" si="1"/>
        <v>1.0838926174496644</v>
      </c>
      <c r="F44" s="114">
        <f t="shared" si="2"/>
        <v>0.0009907214792680182</v>
      </c>
    </row>
    <row r="45" spans="1:6" ht="12.75">
      <c r="A45" s="30">
        <v>4210</v>
      </c>
      <c r="B45" s="11" t="s">
        <v>67</v>
      </c>
      <c r="C45" s="44">
        <f>a!D27+a!D47+a!D67+a!D81+a!D91+a!D106+a!D126+a!D134+a!D154+a!D191+a!D211+a!D226+a!D246+a!D272+a!D282+a!D328+a!D338+a!D364+a!D394+a!D400+a!D418+a!D457+a!D472+a!D498+a!D516+a!D527</f>
        <v>2222690</v>
      </c>
      <c r="D45" s="44">
        <f>a!G27+a!G47+a!G67+a!G81+a!G91+a!G106+a!G126+a!G134+a!G154+a!G191+a!G211+a!G226+a!G246+a!G272+a!G282+a!G328+a!G338+a!G364+a!G394+a!G400+a!G418+a!G457+a!G472+a!G498+a!G516+a!G527</f>
        <v>1570534</v>
      </c>
      <c r="E45" s="88">
        <f t="shared" si="1"/>
        <v>0.7065915624760988</v>
      </c>
      <c r="F45" s="114">
        <f t="shared" si="2"/>
        <v>0.04817219095110581</v>
      </c>
    </row>
    <row r="46" spans="1:6" ht="12.75">
      <c r="A46" s="30">
        <v>4218</v>
      </c>
      <c r="B46" s="11" t="s">
        <v>67</v>
      </c>
      <c r="C46" s="44">
        <f>a!D247+a!D311+a!D380+a!D439+a!D491</f>
        <v>8715</v>
      </c>
      <c r="D46" s="44">
        <f>a!G247+a!G311+a!G380+a!G439+a!G491</f>
        <v>5493</v>
      </c>
      <c r="E46" s="88">
        <f t="shared" si="1"/>
        <v>0.6302925989672977</v>
      </c>
      <c r="F46" s="114">
        <f t="shared" si="2"/>
        <v>0.00016848399645879949</v>
      </c>
    </row>
    <row r="47" spans="1:6" ht="12.75">
      <c r="A47" s="30">
        <v>4219</v>
      </c>
      <c r="B47" s="11" t="s">
        <v>67</v>
      </c>
      <c r="C47" s="44">
        <f>a!D312+a!D440+a!D492</f>
        <v>1135</v>
      </c>
      <c r="D47" s="44">
        <f>a!G312+a!G440+a!G492</f>
        <v>1533</v>
      </c>
      <c r="E47" s="88">
        <f t="shared" si="1"/>
        <v>1.350660792951542</v>
      </c>
      <c r="F47" s="114">
        <f t="shared" si="2"/>
        <v>4.7020929650708106E-05</v>
      </c>
    </row>
    <row r="48" spans="1:6" ht="12.75">
      <c r="A48" s="30">
        <v>4220</v>
      </c>
      <c r="B48" s="11" t="s">
        <v>93</v>
      </c>
      <c r="C48" s="44">
        <f>a!D339+a!D155+a!D192</f>
        <v>306000</v>
      </c>
      <c r="D48" s="44">
        <f>a!G339+a!G155+a!G192</f>
        <v>290800</v>
      </c>
      <c r="E48" s="88">
        <f t="shared" si="1"/>
        <v>0.9503267973856209</v>
      </c>
      <c r="F48" s="114">
        <f t="shared" si="2"/>
        <v>0.008919560562573984</v>
      </c>
    </row>
    <row r="49" spans="1:6" ht="12.75">
      <c r="A49" s="30">
        <v>4228</v>
      </c>
      <c r="B49" s="11" t="s">
        <v>93</v>
      </c>
      <c r="C49" s="44">
        <f>a!D381</f>
        <v>8740</v>
      </c>
      <c r="D49" s="44">
        <f>a!G381</f>
        <v>4560</v>
      </c>
      <c r="E49" s="88">
        <f t="shared" si="1"/>
        <v>0.5217391304347826</v>
      </c>
      <c r="F49" s="114">
        <f t="shared" si="2"/>
        <v>0.00013986656177901433</v>
      </c>
    </row>
    <row r="50" spans="1:6" ht="12.75">
      <c r="A50" s="30">
        <v>4230</v>
      </c>
      <c r="B50" s="11" t="s">
        <v>92</v>
      </c>
      <c r="C50" s="46">
        <f>a!D156+a!D193+a!D340+a!D107+a!D473+a!D248</f>
        <v>23000</v>
      </c>
      <c r="D50" s="46">
        <f>a!G156+a!G193+a!G340+a!G107+a!G473+a!G248</f>
        <v>22900</v>
      </c>
      <c r="E50" s="88">
        <f t="shared" si="1"/>
        <v>0.9956521739130435</v>
      </c>
      <c r="F50" s="114">
        <f t="shared" si="2"/>
        <v>0.0007024000580568921</v>
      </c>
    </row>
    <row r="51" spans="1:6" ht="12.75">
      <c r="A51" s="30">
        <v>4240</v>
      </c>
      <c r="B51" s="11" t="s">
        <v>102</v>
      </c>
      <c r="C51" s="46">
        <f>a!D194+a!D227+a!D458+a!D474+a!D249+a!D212+a!D512+a!D273+a!D283</f>
        <v>51304</v>
      </c>
      <c r="D51" s="46">
        <f>a!G194+a!G227+a!G458+a!G474+a!G249+a!G212+a!G512+a!G273+a!G283</f>
        <v>42240</v>
      </c>
      <c r="E51" s="88">
        <f t="shared" si="1"/>
        <v>0.823327615780446</v>
      </c>
      <c r="F51" s="114">
        <f t="shared" si="2"/>
        <v>0.0012956060459529749</v>
      </c>
    </row>
    <row r="52" spans="1:6" ht="12.75">
      <c r="A52" s="30">
        <v>4260</v>
      </c>
      <c r="B52" s="11" t="s">
        <v>132</v>
      </c>
      <c r="C52" s="46">
        <f>a!D28+a!D108+a!D157+a!D195+a!D213+a!D228+a!D341+a!D459+a!D475+a!D250+a!D274+a!D419+a!D499+a!D284</f>
        <v>595016</v>
      </c>
      <c r="D52" s="46">
        <f>a!G28+a!G108+a!G157+a!G195+a!G213+a!G228+a!G341+a!G459+a!G475+a!G250+a!G274+a!G419+a!G499+a!G284</f>
        <v>583300</v>
      </c>
      <c r="E52" s="88">
        <f t="shared" si="1"/>
        <v>0.9803097731825698</v>
      </c>
      <c r="F52" s="114">
        <f t="shared" si="2"/>
        <v>0.017891264360898915</v>
      </c>
    </row>
    <row r="53" spans="1:6" ht="12.75">
      <c r="A53" s="30">
        <v>4270</v>
      </c>
      <c r="B53" s="11" t="s">
        <v>133</v>
      </c>
      <c r="C53" s="46">
        <f>a!D29+a!D109+a!D158+a!D229+a!D342+a!D460+a!D365+a!D251+a!D196+a!D285</f>
        <v>231222</v>
      </c>
      <c r="D53" s="46">
        <f>a!G29+a!G109+a!G158+a!G229+a!G342+a!G460+a!G365+a!G251+a!G196+a!G285</f>
        <v>324760</v>
      </c>
      <c r="E53" s="88">
        <f t="shared" si="1"/>
        <v>1.4045376305022879</v>
      </c>
      <c r="F53" s="114">
        <f t="shared" si="2"/>
        <v>0.009961198377928223</v>
      </c>
    </row>
    <row r="54" spans="1:6" ht="12.75">
      <c r="A54" s="30">
        <v>4280</v>
      </c>
      <c r="B54" s="11" t="s">
        <v>104</v>
      </c>
      <c r="C54" s="46">
        <f>a!D197+a!D230+a!D110+a!D214+a!D252+a!D476+a!D30+a!D68+a!D159+a!D420</f>
        <v>16814</v>
      </c>
      <c r="D54" s="46">
        <f>a!G197+a!G230+a!G110+a!G214+a!G252+a!G476+a!G30+a!G68+a!G159+a!G420</f>
        <v>13310</v>
      </c>
      <c r="E54" s="88">
        <f t="shared" si="1"/>
        <v>0.7916022362317117</v>
      </c>
      <c r="F54" s="114">
        <f t="shared" si="2"/>
        <v>0.00040825086343830716</v>
      </c>
    </row>
    <row r="55" spans="1:6" ht="12.75">
      <c r="A55" s="30">
        <v>4288</v>
      </c>
      <c r="B55" s="11" t="s">
        <v>104</v>
      </c>
      <c r="C55" s="46">
        <f>a!D441</f>
        <v>0</v>
      </c>
      <c r="D55" s="46">
        <f>a!G441</f>
        <v>2544</v>
      </c>
      <c r="E55" s="88"/>
      <c r="F55" s="114">
        <f t="shared" si="2"/>
        <v>7.803081867671326E-05</v>
      </c>
    </row>
    <row r="56" spans="1:6" ht="12.75">
      <c r="A56" s="30">
        <v>4289</v>
      </c>
      <c r="B56" s="11" t="s">
        <v>104</v>
      </c>
      <c r="C56" s="46">
        <f>a!D442</f>
        <v>0</v>
      </c>
      <c r="D56" s="46">
        <f>a!G442</f>
        <v>636</v>
      </c>
      <c r="E56" s="88"/>
      <c r="F56" s="114"/>
    </row>
    <row r="57" spans="1:6" ht="12.75">
      <c r="A57" s="30">
        <v>4300</v>
      </c>
      <c r="B57" s="11" t="s">
        <v>82</v>
      </c>
      <c r="C57" s="44">
        <f>a!D528+a!D517+a!D500+a!D477+a!D461+a!D445+a!D421+a!D402+a!D395+a!D376+a!D366+a!D343+a!D275+a!D253+a!D231+a!D215+a!D198+a!D160+a!D135+a!D127+a!D111+a!D92+a!D69+a!D58+a!D55+a!D48+a!D31+a!D16+a!D8+a!D286+a!D291+a!D503</f>
        <v>1285165</v>
      </c>
      <c r="D57" s="44">
        <f>a!G528+a!G517+a!G500+a!G477+a!G461+a!G445+a!G421+a!G402+a!G395+a!G376+a!G366+a!G343+a!G275+a!G253+a!G231+a!G215+a!G198+a!G160+a!G135+a!G127+a!G111+a!G92+a!G69+a!G58+a!G55+a!G48+a!G31+a!G16+a!G8+a!G286+a!G291+a!G503</f>
        <v>1311659</v>
      </c>
      <c r="E57" s="88">
        <f t="shared" si="1"/>
        <v>1.0206152517381037</v>
      </c>
      <c r="F57" s="114">
        <f>D57/$D$78</f>
        <v>0.04023184968344302</v>
      </c>
    </row>
    <row r="58" spans="1:6" ht="12.75">
      <c r="A58" s="30">
        <v>4308</v>
      </c>
      <c r="B58" s="11" t="s">
        <v>82</v>
      </c>
      <c r="C58" s="44">
        <f>a!D443+a!D382+a!D254</f>
        <v>31418</v>
      </c>
      <c r="D58" s="44">
        <f>a!G443+a!G382+a!G254</f>
        <v>7514</v>
      </c>
      <c r="E58" s="88">
        <f t="shared" si="1"/>
        <v>0.23916226367050736</v>
      </c>
      <c r="F58" s="114">
        <f>D58/$D$78</f>
        <v>0.0002304731020191916</v>
      </c>
    </row>
    <row r="59" spans="1:6" ht="12.75">
      <c r="A59" s="30">
        <v>4309</v>
      </c>
      <c r="B59" s="11" t="s">
        <v>82</v>
      </c>
      <c r="C59" s="44">
        <f>a!D444</f>
        <v>0</v>
      </c>
      <c r="D59" s="44">
        <f>a!G444</f>
        <v>1278</v>
      </c>
      <c r="E59" s="88"/>
      <c r="F59" s="114"/>
    </row>
    <row r="60" spans="1:6" ht="12.75">
      <c r="A60" s="30">
        <v>4350</v>
      </c>
      <c r="B60" s="11" t="s">
        <v>209</v>
      </c>
      <c r="C60" s="44">
        <f>a!D32+a!D161+a!D199+a!D232+a!D255+a!D367+a!D462+a!D396+a!D344+a!D112</f>
        <v>19448</v>
      </c>
      <c r="D60" s="44">
        <f>a!G32+a!G161+a!G199+a!G232+a!G255+a!G367+a!G462+a!G396+a!G344+a!G112</f>
        <v>24430</v>
      </c>
      <c r="E60" s="88">
        <f t="shared" si="1"/>
        <v>1.2561703002879474</v>
      </c>
      <c r="F60" s="114">
        <f>D60/$D$78</f>
        <v>0.0007493289702327457</v>
      </c>
    </row>
    <row r="61" spans="1:6" ht="12.75">
      <c r="A61" s="30">
        <v>4410</v>
      </c>
      <c r="B61" s="11" t="s">
        <v>70</v>
      </c>
      <c r="C61" s="44">
        <f>a!D33+a!D70+a!D93+a!D113+a!D128+a!D162+a!D200+a!D345+a!D368+a!D403+a!D422+a!D463+a!D478+a!D529+a!D216+a!D233+a!D256+a!D287</f>
        <v>80870</v>
      </c>
      <c r="D61" s="44">
        <f>a!G33+a!G70+a!G93+a!G113+a!G128+a!G162+a!G200+a!G345+a!G368+a!G403+a!G422+a!G463+a!G478+a!G529+a!G216+a!G233+a!G256+a!G287</f>
        <v>82410</v>
      </c>
      <c r="E61" s="88">
        <f t="shared" si="1"/>
        <v>1.0190429083714603</v>
      </c>
      <c r="F61" s="114">
        <f>D61/$D$78</f>
        <v>0.0025277200342562656</v>
      </c>
    </row>
    <row r="62" spans="1:6" ht="12.75">
      <c r="A62" s="30">
        <v>4418</v>
      </c>
      <c r="B62" s="11" t="s">
        <v>70</v>
      </c>
      <c r="C62" s="44">
        <f>a!D257+a!D383</f>
        <v>8734</v>
      </c>
      <c r="D62" s="44">
        <f>a!G257+a!G383</f>
        <v>3673</v>
      </c>
      <c r="E62" s="88">
        <f t="shared" si="1"/>
        <v>0.4205404167620792</v>
      </c>
      <c r="F62" s="114"/>
    </row>
    <row r="63" spans="1:6" ht="12.75">
      <c r="A63" s="30">
        <v>4420</v>
      </c>
      <c r="B63" s="11" t="s">
        <v>267</v>
      </c>
      <c r="C63" s="44">
        <f>a!D114</f>
        <v>2875</v>
      </c>
      <c r="D63" s="44">
        <f>a!G114</f>
        <v>0</v>
      </c>
      <c r="E63" s="88">
        <f t="shared" si="1"/>
        <v>0</v>
      </c>
      <c r="F63" s="114"/>
    </row>
    <row r="64" spans="1:6" ht="12.75">
      <c r="A64" s="30">
        <v>4428</v>
      </c>
      <c r="B64" s="11" t="s">
        <v>267</v>
      </c>
      <c r="C64" s="44">
        <f>a!D258</f>
        <v>9828</v>
      </c>
      <c r="D64" s="44">
        <f>a!G258</f>
        <v>0</v>
      </c>
      <c r="E64" s="88">
        <f t="shared" si="1"/>
        <v>0</v>
      </c>
      <c r="F64" s="114"/>
    </row>
    <row r="65" spans="1:6" ht="12.75">
      <c r="A65" s="30">
        <v>4430</v>
      </c>
      <c r="B65" s="11" t="s">
        <v>81</v>
      </c>
      <c r="C65" s="44">
        <f>a!D34+a!D71+a!D94+a!D115+a!D136+a!D163+a!D201+a!D234+a!D259+a!D346+a!D369+a!D423+a!D530+a!D288</f>
        <v>82118</v>
      </c>
      <c r="D65" s="44">
        <f>a!G34+a!G71+a!G94+a!G115+a!G136+a!G163+a!G201+a!G234+a!G259+a!G346+a!G369+a!G423+a!G530+a!G288</f>
        <v>82847</v>
      </c>
      <c r="E65" s="88">
        <f t="shared" si="1"/>
        <v>1.008877469008013</v>
      </c>
      <c r="F65" s="114">
        <f>D65/$D$78</f>
        <v>0.002541123913093421</v>
      </c>
    </row>
    <row r="66" spans="1:6" ht="12.75">
      <c r="A66" s="30">
        <v>4440</v>
      </c>
      <c r="B66" s="11" t="s">
        <v>72</v>
      </c>
      <c r="C66" s="46">
        <f>a!D35+a!D72+a!D82+a!D95+a!D116+a!D164+a!D202+a!D217+a!D235+a!D295+a!D347+a!D464+a!D479+a!D260+a!D276+a!D370+a!D424+a!D432+a!D507+a!D397</f>
        <v>708827</v>
      </c>
      <c r="D66" s="46">
        <f>a!G35+a!G72+a!G82+a!G95+a!G116+a!G164+a!G202+a!G217+a!G235+a!G295+a!G347+a!G464+a!G479+a!G260+a!G276+a!G370+a!G424+a!G432+a!G507+a!G397</f>
        <v>713358</v>
      </c>
      <c r="E66" s="88">
        <f t="shared" si="1"/>
        <v>1.0063922508595187</v>
      </c>
      <c r="F66" s="114">
        <f>D66/$D$78</f>
        <v>0.02188046727577941</v>
      </c>
    </row>
    <row r="67" spans="1:6" ht="12.75">
      <c r="A67" s="30">
        <v>4480</v>
      </c>
      <c r="B67" s="11" t="s">
        <v>136</v>
      </c>
      <c r="C67" s="46">
        <f>a!D36+a!D50+a!D117+a!D165+a!D348</f>
        <v>19753</v>
      </c>
      <c r="D67" s="46">
        <f>a!G36+a!G50+a!G117+a!G165+a!G348</f>
        <v>21082</v>
      </c>
      <c r="E67" s="88">
        <f t="shared" si="1"/>
        <v>1.0672809193540223</v>
      </c>
      <c r="F67" s="114">
        <f>D67/$D$78</f>
        <v>0.0006466374682949956</v>
      </c>
    </row>
    <row r="68" spans="1:6" ht="12.75">
      <c r="A68" s="30">
        <v>4500</v>
      </c>
      <c r="B68" s="11" t="s">
        <v>168</v>
      </c>
      <c r="C68" s="46">
        <f>a!D37</f>
        <v>4625</v>
      </c>
      <c r="D68" s="46">
        <f>a!G37</f>
        <v>4700</v>
      </c>
      <c r="E68" s="88">
        <f t="shared" si="1"/>
        <v>1.0162162162162163</v>
      </c>
      <c r="F68" s="114">
        <f>D68/$D$78</f>
        <v>0.000144160710605563</v>
      </c>
    </row>
    <row r="69" spans="1:6" ht="12.75">
      <c r="A69" s="31" t="s">
        <v>94</v>
      </c>
      <c r="B69" s="11" t="s">
        <v>95</v>
      </c>
      <c r="C69" s="46">
        <f>a!D38+a!D166</f>
        <v>757</v>
      </c>
      <c r="D69" s="46">
        <f>a!G38+a!G166</f>
        <v>1100</v>
      </c>
      <c r="E69" s="88">
        <f t="shared" si="1"/>
        <v>1.453104359313078</v>
      </c>
      <c r="F69" s="114">
        <f>D69/$D$78</f>
        <v>3.3739740780025385E-05</v>
      </c>
    </row>
    <row r="70" spans="1:6" ht="12.75">
      <c r="A70" s="31" t="s">
        <v>174</v>
      </c>
      <c r="B70" s="61" t="s">
        <v>128</v>
      </c>
      <c r="C70" s="46">
        <f>a!D49</f>
        <v>56890</v>
      </c>
      <c r="D70" s="46">
        <f>a!G49</f>
        <v>3000</v>
      </c>
      <c r="E70" s="88"/>
      <c r="F70" s="114"/>
    </row>
    <row r="71" spans="1:6" ht="12" customHeight="1">
      <c r="A71" s="31" t="s">
        <v>172</v>
      </c>
      <c r="B71" s="15" t="s">
        <v>146</v>
      </c>
      <c r="C71" s="46">
        <f>a!D180</f>
        <v>0</v>
      </c>
      <c r="D71" s="46">
        <f>a!G180</f>
        <v>300000</v>
      </c>
      <c r="E71" s="88"/>
      <c r="F71" s="114">
        <f aca="true" t="shared" si="3" ref="F71:F77">D71/$D$78</f>
        <v>0.00920174748546147</v>
      </c>
    </row>
    <row r="72" spans="1:6" ht="15" customHeight="1">
      <c r="A72" s="31" t="s">
        <v>218</v>
      </c>
      <c r="B72" s="11" t="s">
        <v>195</v>
      </c>
      <c r="C72" s="46">
        <f>a!D261</f>
        <v>22422</v>
      </c>
      <c r="D72" s="46">
        <f>a!G261</f>
        <v>0</v>
      </c>
      <c r="E72" s="88">
        <f t="shared" si="1"/>
        <v>0</v>
      </c>
      <c r="F72" s="114">
        <f t="shared" si="3"/>
        <v>0</v>
      </c>
    </row>
    <row r="73" spans="1:6" ht="12.75">
      <c r="A73" s="32">
        <v>6060</v>
      </c>
      <c r="B73" s="22" t="s">
        <v>167</v>
      </c>
      <c r="C73" s="80">
        <f>a!D39+a!D118+a!D296+a!D318+a!D349+a!D262+a!D425+a!D329+a!D167+a!D141</f>
        <v>1380567</v>
      </c>
      <c r="D73" s="80">
        <f>a!G39+a!G118+a!G296+a!G318+a!G349+a!G262+a!G425+a!G329+a!G167+a!G141</f>
        <v>1336300</v>
      </c>
      <c r="E73" s="88">
        <f t="shared" si="1"/>
        <v>0.967935638038574</v>
      </c>
      <c r="F73" s="114">
        <f t="shared" si="3"/>
        <v>0.0409876505494072</v>
      </c>
    </row>
    <row r="74" spans="1:6" ht="12.75">
      <c r="A74" s="32">
        <v>6068</v>
      </c>
      <c r="B74" s="22" t="s">
        <v>167</v>
      </c>
      <c r="C74" s="80">
        <f>a!D40+a!D263+a!D384</f>
        <v>2044670</v>
      </c>
      <c r="D74" s="80">
        <f>a!G40+a!G263+a!G384</f>
        <v>2086141</v>
      </c>
      <c r="E74" s="88">
        <f t="shared" si="1"/>
        <v>1.020282490573051</v>
      </c>
      <c r="F74" s="114">
        <f t="shared" si="3"/>
        <v>0.06398714233689358</v>
      </c>
    </row>
    <row r="75" spans="1:6" ht="12.75">
      <c r="A75" s="32">
        <v>6069</v>
      </c>
      <c r="B75" s="22" t="s">
        <v>167</v>
      </c>
      <c r="C75" s="80">
        <f>a!D264+a!D41</f>
        <v>1321700</v>
      </c>
      <c r="D75" s="80">
        <f>a!G264+a!G41</f>
        <v>1356230</v>
      </c>
      <c r="E75" s="88">
        <f t="shared" si="1"/>
        <v>1.0261254445032912</v>
      </c>
      <c r="F75" s="114">
        <f t="shared" si="3"/>
        <v>0.04159895330735803</v>
      </c>
    </row>
    <row r="76" spans="1:6" ht="24">
      <c r="A76" s="32">
        <v>8020</v>
      </c>
      <c r="B76" s="15" t="s">
        <v>131</v>
      </c>
      <c r="C76" s="80">
        <f>a!D175</f>
        <v>100000</v>
      </c>
      <c r="D76" s="80">
        <f>a!G175</f>
        <v>99820</v>
      </c>
      <c r="E76" s="88">
        <f t="shared" si="1"/>
        <v>0.9982</v>
      </c>
      <c r="F76" s="114">
        <f t="shared" si="3"/>
        <v>0.003061728113329213</v>
      </c>
    </row>
    <row r="77" spans="1:6" ht="13.5" thickBot="1">
      <c r="A77" s="77">
        <v>8070</v>
      </c>
      <c r="B77" s="78" t="s">
        <v>139</v>
      </c>
      <c r="C77" s="81">
        <f>a!D172+a!D119</f>
        <v>191752</v>
      </c>
      <c r="D77" s="81">
        <f>a!G172+a!G119</f>
        <v>242680</v>
      </c>
      <c r="E77" s="87">
        <f t="shared" si="1"/>
        <v>1.2655930576995285</v>
      </c>
      <c r="F77" s="114">
        <f t="shared" si="3"/>
        <v>0.007443600265905965</v>
      </c>
    </row>
    <row r="78" spans="1:6" ht="14.25" thickBot="1" thickTop="1">
      <c r="A78" s="265" t="s">
        <v>176</v>
      </c>
      <c r="B78" s="266"/>
      <c r="C78" s="82">
        <f>SUM(C3:C77)</f>
        <v>31305813</v>
      </c>
      <c r="D78" s="82">
        <f>SUM(D3:D77)</f>
        <v>32602503</v>
      </c>
      <c r="E78" s="83">
        <f>D78/C78</f>
        <v>1.041420103033261</v>
      </c>
      <c r="F78" s="84">
        <f>D78/D78</f>
        <v>1</v>
      </c>
    </row>
    <row r="79" ht="13.5" thickTop="1">
      <c r="A79" s="40" t="s">
        <v>181</v>
      </c>
    </row>
  </sheetData>
  <mergeCells count="2">
    <mergeCell ref="A78:B78"/>
    <mergeCell ref="A1:D1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63" r:id="rId1"/>
  <headerFooter alignWithMargins="0">
    <oddFooter>&amp;R12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D1">
      <selection activeCell="I5" sqref="I5"/>
    </sheetView>
  </sheetViews>
  <sheetFormatPr defaultColWidth="9.00390625" defaultRowHeight="12.75"/>
  <cols>
    <col min="2" max="2" width="42.75390625" style="0" customWidth="1"/>
    <col min="3" max="4" width="13.375" style="0" bestFit="1" customWidth="1"/>
  </cols>
  <sheetData>
    <row r="1" spans="1:14" ht="13.5" thickBot="1">
      <c r="A1" s="267" t="s">
        <v>180</v>
      </c>
      <c r="B1" s="267"/>
      <c r="C1" s="267"/>
      <c r="D1" s="267"/>
      <c r="E1" s="268" t="s">
        <v>182</v>
      </c>
      <c r="F1" s="268"/>
      <c r="G1" s="268" t="s">
        <v>183</v>
      </c>
      <c r="H1" s="268"/>
      <c r="I1" s="268" t="s">
        <v>184</v>
      </c>
      <c r="J1" s="268"/>
      <c r="K1" s="268" t="s">
        <v>184</v>
      </c>
      <c r="L1" s="268"/>
      <c r="M1" s="268"/>
      <c r="N1" s="268"/>
    </row>
    <row r="2" spans="1:4" ht="39.75" thickBot="1" thickTop="1">
      <c r="A2" s="25" t="s">
        <v>18</v>
      </c>
      <c r="B2" s="26" t="s">
        <v>177</v>
      </c>
      <c r="C2" s="26" t="s">
        <v>179</v>
      </c>
      <c r="D2" s="27" t="s">
        <v>178</v>
      </c>
    </row>
    <row r="3" spans="1:4" ht="24.75" thickTop="1">
      <c r="A3" s="28">
        <v>2310</v>
      </c>
      <c r="B3" s="24" t="s">
        <v>143</v>
      </c>
      <c r="C3" s="16" t="e">
        <f>a!#REF!+a!#REF!</f>
        <v>#REF!</v>
      </c>
      <c r="D3" s="19">
        <f>a!G98+a!G131</f>
        <v>6500</v>
      </c>
    </row>
    <row r="4" spans="1:4" ht="12.75">
      <c r="A4" s="29">
        <v>2320</v>
      </c>
      <c r="B4" s="14" t="s">
        <v>107</v>
      </c>
      <c r="C4" s="12" t="e">
        <f>a!#REF!+a!#REF!+a!#REF!</f>
        <v>#REF!</v>
      </c>
      <c r="D4" s="18" t="e">
        <f>a!#REF!+a!G291+a!#REF!</f>
        <v>#REF!</v>
      </c>
    </row>
    <row r="5" spans="1:4" ht="12.75">
      <c r="A5" s="29">
        <v>2570</v>
      </c>
      <c r="B5" s="11" t="s">
        <v>88</v>
      </c>
      <c r="C5" s="12" t="e">
        <f>a!#REF!</f>
        <v>#REF!</v>
      </c>
      <c r="D5" s="18" t="e">
        <f>a!#REF!</f>
        <v>#REF!</v>
      </c>
    </row>
    <row r="6" spans="1:4" ht="48">
      <c r="A6" s="29">
        <v>2580</v>
      </c>
      <c r="B6" s="11" t="s">
        <v>112</v>
      </c>
      <c r="C6" s="12" t="e">
        <f>a!#REF!</f>
        <v>#REF!</v>
      </c>
      <c r="D6" s="18">
        <f>a!G332</f>
        <v>881458</v>
      </c>
    </row>
    <row r="7" spans="1:4" ht="12.75">
      <c r="A7" s="29">
        <v>2630</v>
      </c>
      <c r="B7" s="11" t="s">
        <v>137</v>
      </c>
      <c r="C7" s="12" t="e">
        <f>a!#REF!</f>
        <v>#REF!</v>
      </c>
      <c r="D7" s="18">
        <f>a!G132</f>
        <v>2000</v>
      </c>
    </row>
    <row r="8" spans="1:4" ht="12.75">
      <c r="A8" s="29">
        <v>2660</v>
      </c>
      <c r="B8" s="21" t="s">
        <v>165</v>
      </c>
      <c r="C8" s="12" t="e">
        <f>a!#REF!</f>
        <v>#REF!</v>
      </c>
      <c r="D8" s="18" t="e">
        <f>a!#REF!</f>
        <v>#REF!</v>
      </c>
    </row>
    <row r="9" spans="1:4" ht="12.75">
      <c r="A9" s="29">
        <v>3020</v>
      </c>
      <c r="B9" s="14" t="s">
        <v>138</v>
      </c>
      <c r="C9" s="12" t="e">
        <f>a!#REF!+a!#REF!+a!#REF!+a!#REF!+a!#REF!+a!#REF!+a!#REF!+a!#REF!+a!#REF!</f>
        <v>#REF!</v>
      </c>
      <c r="D9" s="18" t="e">
        <f>a!G21+a!#REF!+a!G185+a!#REF!+a!G220+a!#REF!+a!#REF!+a!G450+a!G467</f>
        <v>#REF!</v>
      </c>
    </row>
    <row r="10" spans="1:4" ht="12.75">
      <c r="A10" s="29">
        <v>3030</v>
      </c>
      <c r="B10" s="11" t="s">
        <v>77</v>
      </c>
      <c r="C10" s="12" t="e">
        <f>a!#REF!+a!#REF!+a!#REF!+a!#REF!+a!#REF!+a!#REF!+a!#REF!+a!#REF!</f>
        <v>#REF!</v>
      </c>
      <c r="D10" s="18" t="e">
        <f>a!#REF!+a!G85+a!G122+a!#REF!+a!#REF!+a!G292+a!G451+a!G526</f>
        <v>#REF!</v>
      </c>
    </row>
    <row r="11" spans="1:4" ht="12.75">
      <c r="A11" s="29">
        <v>3110</v>
      </c>
      <c r="B11" s="11" t="s">
        <v>113</v>
      </c>
      <c r="C11" s="12" t="e">
        <f>a!#REF!+a!#REF!+a!#REF!+a!#REF!</f>
        <v>#REF!</v>
      </c>
      <c r="D11" s="18" t="e">
        <f>a!G327+a!G353+a!#REF!+a!#REF!</f>
        <v>#REF!</v>
      </c>
    </row>
    <row r="12" spans="1:4" ht="12.75">
      <c r="A12" s="29">
        <v>3240</v>
      </c>
      <c r="B12" s="11" t="s">
        <v>117</v>
      </c>
      <c r="C12" s="12" t="e">
        <f>a!#REF!</f>
        <v>#REF!</v>
      </c>
      <c r="D12" s="18" t="e">
        <f>a!#REF!</f>
        <v>#REF!</v>
      </c>
    </row>
    <row r="13" spans="1:4" ht="12.75">
      <c r="A13" s="30">
        <v>4010</v>
      </c>
      <c r="B13" s="11" t="s">
        <v>64</v>
      </c>
      <c r="C13" s="12" t="e">
        <f>a!#REF!+a!#REF!+a!#REF!+a!#REF!+a!#REF!+a!#REF!+a!#REF!+a!#REF!+a!#REF!+a!#REF!+a!#REF!+a!#REF!+a!#REF!+a!#REF!+a!#REF!+a!#REF!+a!#REF!+a!#REF!+a!#REF!</f>
        <v>#REF!</v>
      </c>
      <c r="D13" s="18" t="e">
        <f>a!#REF!+a!G22+a!G61+a!G77+a!G86+a!G100+a!G145+a!G186+a!G207+a!G221+a!#REF!+a!#REF!+a!G334+a!#REF!+a!#REF!+a!#REF!+a!G452+a!G468+a!G507</f>
        <v>#REF!</v>
      </c>
    </row>
    <row r="14" spans="1:4" ht="12.75">
      <c r="A14" s="30">
        <v>4020</v>
      </c>
      <c r="B14" s="11" t="s">
        <v>166</v>
      </c>
      <c r="C14" s="12" t="e">
        <f>a!#REF!+a!#REF!</f>
        <v>#REF!</v>
      </c>
      <c r="D14" s="18" t="e">
        <f>a!#REF!+a!G62</f>
        <v>#REF!</v>
      </c>
    </row>
    <row r="15" spans="1:4" ht="12.75">
      <c r="A15" s="30">
        <v>4040</v>
      </c>
      <c r="B15" s="11" t="s">
        <v>85</v>
      </c>
      <c r="C15" s="12" t="e">
        <f>a!#REF!+a!#REF!+a!#REF!+a!#REF!+a!#REF!+a!#REF!+a!#REF!+a!#REF!+a!#REF!+a!#REF!+a!#REF!+a!#REF!+a!#REF!+a!#REF!+a!#REF!+a!#REF!</f>
        <v>#REF!</v>
      </c>
      <c r="D15" s="18" t="e">
        <f>a!#REF!+a!G23+a!G63+a!G78+a!G87+a!G101+a!G146+a!G187+a!G208+a!G222+a!#REF!+a!G335+a!#REF!+a!#REF!+a!G453+a!G469</f>
        <v>#REF!</v>
      </c>
    </row>
    <row r="16" spans="1:4" ht="12.75">
      <c r="A16" s="30">
        <v>4050</v>
      </c>
      <c r="B16" s="11" t="s">
        <v>89</v>
      </c>
      <c r="C16" s="12" t="e">
        <f>a!#REF!</f>
        <v>#REF!</v>
      </c>
      <c r="D16" s="18">
        <f>a!G147</f>
        <v>1178800</v>
      </c>
    </row>
    <row r="17" spans="1:4" ht="12.75">
      <c r="A17" s="30">
        <v>4060</v>
      </c>
      <c r="B17" s="11" t="s">
        <v>90</v>
      </c>
      <c r="C17" s="12" t="e">
        <f>a!#REF!</f>
        <v>#REF!</v>
      </c>
      <c r="D17" s="18">
        <f>a!G148</f>
        <v>69000</v>
      </c>
    </row>
    <row r="18" spans="1:4" ht="12.75">
      <c r="A18" s="30">
        <v>4070</v>
      </c>
      <c r="B18" s="11" t="s">
        <v>91</v>
      </c>
      <c r="C18" s="12" t="e">
        <f>a!#REF!</f>
        <v>#REF!</v>
      </c>
      <c r="D18" s="18">
        <f>a!G149</f>
        <v>99300</v>
      </c>
    </row>
    <row r="19" spans="1:4" ht="12.75">
      <c r="A19" s="30">
        <v>4080</v>
      </c>
      <c r="B19" s="11" t="s">
        <v>145</v>
      </c>
      <c r="C19" s="12" t="e">
        <f>a!#REF!</f>
        <v>#REF!</v>
      </c>
      <c r="D19" s="18" t="e">
        <f>a!#REF!</f>
        <v>#REF!</v>
      </c>
    </row>
    <row r="20" spans="1:4" ht="12.75">
      <c r="A20" s="30">
        <v>4110</v>
      </c>
      <c r="B20" s="11" t="s">
        <v>84</v>
      </c>
      <c r="C20" s="12" t="e">
        <f>a!#REF!+a!#REF!+a!#REF!+a!#REF!+a!#REF!+a!#REF!+a!#REF!+a!#REF!+a!#REF!+a!#REF!+a!#REF!+a!#REF!+a!#REF!+a!#REF!+a!#REF!+a!#REF!+a!#REF!+a!#REF!+a!#REF!+a!#REF!</f>
        <v>#REF!</v>
      </c>
      <c r="D20" s="18" t="e">
        <f>a!#REF!+a!G24+a!G64+a!G79+a!G88+a!G102+a!#REF!+a!G150+a!G188+a!G209+a!G223+a!#REF!+a!#REF!+a!G336+a!#REF!+a!#REF!+a!#REF!+a!G454+a!G470+a!#REF!</f>
        <v>#REF!</v>
      </c>
    </row>
    <row r="21" spans="1:4" ht="12.75">
      <c r="A21" s="30">
        <v>4120</v>
      </c>
      <c r="B21" s="11" t="s">
        <v>83</v>
      </c>
      <c r="C21" s="12" t="e">
        <f>a!#REF!+a!#REF!+a!#REF!+a!#REF!+a!#REF!+a!#REF!+a!#REF!+a!#REF!+a!#REF!+a!#REF!+a!#REF!+a!#REF!+a!#REF!+a!#REF!+a!#REF!+a!#REF!+a!#REF!+a!#REF!+a!#REF!+a!#REF!</f>
        <v>#REF!</v>
      </c>
      <c r="D21" s="18" t="e">
        <f>a!#REF!+a!G25+a!G65+a!G80+a!G89+a!G103+a!#REF!+a!G151+a!G189+a!G210+a!G224+a!#REF!+a!#REF!+a!G337+a!#REF!+a!#REF!+a!#REF!+a!G455+a!G471+a!#REF!</f>
        <v>#REF!</v>
      </c>
    </row>
    <row r="22" spans="1:4" ht="12.75">
      <c r="A22" s="30">
        <v>4130</v>
      </c>
      <c r="B22" s="14" t="s">
        <v>84</v>
      </c>
      <c r="C22" s="12" t="e">
        <f>a!#REF!</f>
        <v>#REF!</v>
      </c>
      <c r="D22" s="18">
        <f>a!G321</f>
        <v>663200</v>
      </c>
    </row>
    <row r="23" spans="1:4" ht="12.75">
      <c r="A23" s="30">
        <v>4140</v>
      </c>
      <c r="B23" s="11" t="s">
        <v>86</v>
      </c>
      <c r="C23" s="12" t="e">
        <f>a!#REF!+a!#REF!</f>
        <v>#REF!</v>
      </c>
      <c r="D23" s="18" t="e">
        <f>a!#REF!+a!#REF!</f>
        <v>#REF!</v>
      </c>
    </row>
    <row r="24" spans="1:4" ht="12.75">
      <c r="A24" s="30">
        <v>4210</v>
      </c>
      <c r="B24" s="11" t="s">
        <v>67</v>
      </c>
      <c r="C24" s="12" t="e">
        <f>a!#REF!+a!#REF!+a!#REF!+a!#REF!+a!#REF!+a!#REF!+a!#REF!+a!#REF!+a!#REF!+a!#REF!+a!#REF!+a!#REF!+a!#REF!+a!#REF!+a!#REF!+a!#REF!+a!#REF!+a!#REF!+a!#REF!+a!#REF!+a!#REF!+a!#REF!+a!#REF!+a!#REF!+a!#REF!+a!#REF!+a!#REF!</f>
        <v>#REF!</v>
      </c>
      <c r="D24" s="18" t="e">
        <f>a!#REF!+a!#REF!+a!#REF!+a!#REF!+a!G27+a!G67+a!#REF!+a!G91+a!G106+a!G126+a!G134+a!G154+a!G191+a!G211+a!G226+a!#REF!+a!#REF!+a!G338+a!#REF!+a!#REF!+a!#REF!+a!G457+a!G472+a!#REF!+a!G512+a!G516+a!G527</f>
        <v>#REF!</v>
      </c>
    </row>
    <row r="25" spans="1:4" ht="12.75">
      <c r="A25" s="30">
        <v>4220</v>
      </c>
      <c r="B25" s="11" t="s">
        <v>93</v>
      </c>
      <c r="C25" s="12" t="e">
        <f>a!#REF!+a!#REF!</f>
        <v>#REF!</v>
      </c>
      <c r="D25" s="18">
        <f>a!G155+a!G339</f>
        <v>290800</v>
      </c>
    </row>
    <row r="26" spans="1:4" ht="12.75">
      <c r="A26" s="30">
        <v>4230</v>
      </c>
      <c r="B26" s="11" t="s">
        <v>92</v>
      </c>
      <c r="C26" s="12" t="e">
        <f>a!#REF!+a!#REF!+a!#REF!+a!#REF!</f>
        <v>#REF!</v>
      </c>
      <c r="D26" s="18" t="e">
        <f>a!G156+a!G193+a!#REF!+a!G340</f>
        <v>#REF!</v>
      </c>
    </row>
    <row r="27" spans="1:4" ht="12.75">
      <c r="A27" s="30">
        <v>4240</v>
      </c>
      <c r="B27" s="11" t="s">
        <v>102</v>
      </c>
      <c r="C27" s="12" t="e">
        <f>a!#REF!+a!#REF!+a!#REF!+a!#REF!</f>
        <v>#REF!</v>
      </c>
      <c r="D27" s="18" t="e">
        <f>a!G194+a!G227+a!#REF!+a!G458</f>
        <v>#REF!</v>
      </c>
    </row>
    <row r="28" spans="1:4" ht="12.75">
      <c r="A28" s="30">
        <v>4250</v>
      </c>
      <c r="B28" s="11" t="s">
        <v>96</v>
      </c>
      <c r="C28" s="12" t="e">
        <f>a!#REF!</f>
        <v>#REF!</v>
      </c>
      <c r="D28" s="18" t="e">
        <f>a!#REF!</f>
        <v>#REF!</v>
      </c>
    </row>
    <row r="29" spans="1:4" ht="12.75">
      <c r="A29" s="30">
        <v>4260</v>
      </c>
      <c r="B29" s="11" t="s">
        <v>132</v>
      </c>
      <c r="C29" s="12" t="e">
        <f>a!#REF!+a!#REF!+a!#REF!+a!#REF!+a!#REF!+a!#REF!+a!#REF!+a!#REF!+a!#REF!+a!#REF!+a!#REF!+a!#REF!+a!#REF!</f>
        <v>#REF!</v>
      </c>
      <c r="D29" s="18" t="e">
        <f>a!#REF!+a!G28+a!G108+a!G157+a!G195+a!G213+a!G228+a!#REF!+a!G341+a!#REF!+a!G459+a!G475+a!#REF!</f>
        <v>#REF!</v>
      </c>
    </row>
    <row r="30" spans="1:4" ht="12.75">
      <c r="A30" s="30">
        <v>4270</v>
      </c>
      <c r="B30" s="11" t="s">
        <v>133</v>
      </c>
      <c r="C30" s="12" t="e">
        <f>a!#REF!+a!#REF!+a!#REF!+a!#REF!+a!#REF!+a!#REF!+a!#REF!+a!#REF!+a!#REF!+a!#REF!</f>
        <v>#REF!</v>
      </c>
      <c r="D30" s="18" t="e">
        <f>a!#REF!+a!G29+a!G109+a!G158+a!#REF!+a!G229+a!#REF!+a!G342+a!#REF!+a!G460</f>
        <v>#REF!</v>
      </c>
    </row>
    <row r="31" spans="1:4" ht="12.75">
      <c r="A31" s="30">
        <v>4280</v>
      </c>
      <c r="B31" s="11" t="s">
        <v>104</v>
      </c>
      <c r="C31" s="12" t="e">
        <f>a!#REF!+a!#REF!+a!#REF!</f>
        <v>#REF!</v>
      </c>
      <c r="D31" s="18" t="e">
        <f>a!G197+a!G230+a!#REF!</f>
        <v>#REF!</v>
      </c>
    </row>
    <row r="32" spans="1:4" ht="12.75">
      <c r="A32" s="30">
        <v>4300</v>
      </c>
      <c r="B32" s="11" t="s">
        <v>82</v>
      </c>
      <c r="C32" s="12" t="e">
        <f>a!#REF!+a!#REF!+a!#REF!+a!#REF!+a!#REF!+a!#REF!+a!#REF!+a!#REF!+a!#REF!+a!#REF!+a!#REF!+a!#REF!+a!#REF!+a!#REF!+a!#REF!+a!#REF!+a!#REF!+a!#REF!+a!#REF!+a!#REF!+a!#REF!+a!#REF!+a!#REF!+a!#REF!+a!#REF!+a!#REF!+a!#REF!+a!#REF!+a!#REF!+a!#REF!+a!#REF!+a!#REF!+a!#REF!+a!#REF!</f>
        <v>#REF!</v>
      </c>
      <c r="D32" s="18" t="e">
        <f>a!G8+a!#REF!+a!#REF!+a!#REF!+a!#REF!+a!G16+a!#REF!+a!G31+a!G47+a!G55+a!G58+a!G69+a!G92+a!G111+a!G127+a!G135+a!G160+a!G198+a!G215+a!G231+a!#REF!+a!#REF!+a!#REF!+a!G343+a!#REF!+a!G376+a!#REF!+a!#REF!+a!#REF!+a!G461+a!G477+a!#REF!+a!G517+a!G528</f>
        <v>#REF!</v>
      </c>
    </row>
    <row r="33" spans="1:4" ht="12.75">
      <c r="A33" s="30">
        <v>4410</v>
      </c>
      <c r="B33" s="11" t="s">
        <v>70</v>
      </c>
      <c r="C33" s="12" t="e">
        <f>a!#REF!+a!#REF!+a!#REF!+a!#REF!+a!#REF!+a!#REF!+a!#REF!+a!#REF!+a!#REF!+a!#REF!+a!#REF!+a!#REF!+a!#REF!+a!#REF!+a!#REF!+a!#REF!+a!#REF!+a!#REF!+a!#REF!</f>
        <v>#REF!</v>
      </c>
      <c r="D33" s="18" t="e">
        <f>a!#REF!+a!#REF!+a!G33+a!G70+a!G93+a!G113+a!G128+a!G162+a!G200+a!G216+a!G233+a!#REF!+a!G345+a!#REF!+a!#REF!+a!#REF!+a!G463+a!G478+a!G529</f>
        <v>#REF!</v>
      </c>
    </row>
    <row r="34" spans="1:4" ht="12.75">
      <c r="A34" s="30">
        <v>4430</v>
      </c>
      <c r="B34" s="11" t="s">
        <v>81</v>
      </c>
      <c r="C34" s="12" t="e">
        <f>a!#REF!+a!#REF!+a!#REF!+a!#REF!+a!#REF!+a!#REF!+a!#REF!+a!#REF!+a!#REF!+a!#REF!+a!#REF!+a!#REF!+a!#REF!+a!#REF!</f>
        <v>#REF!</v>
      </c>
      <c r="D34" s="18" t="e">
        <f>a!#REF!+a!G34+a!G71+a!G94+a!G115+a!G136+a!G163+a!G201+a!G234+a!#REF!+a!G346+a!#REF!+a!#REF!+a!G530</f>
        <v>#REF!</v>
      </c>
    </row>
    <row r="35" spans="1:4" ht="12.75">
      <c r="A35" s="30">
        <v>4440</v>
      </c>
      <c r="B35" s="11" t="s">
        <v>72</v>
      </c>
      <c r="C35" s="12" t="e">
        <f>a!#REF!+a!#REF!+a!#REF!+a!#REF!+a!#REF!+a!#REF!+a!#REF!+a!#REF!+a!#REF!+a!#REF!+a!#REF!+a!#REF!+a!#REF!+a!#REF!+a!#REF!+a!#REF!+a!#REF!+a!#REF!</f>
        <v>#REF!</v>
      </c>
      <c r="D35" s="18" t="e">
        <f>a!#REF!+a!G35+a!G72+a!G82+a!G95+a!G116+a!G164+a!G202+a!G217+a!G235+a!#REF!+a!G295+a!G347+a!#REF!+a!#REF!+a!G464+a!G479+a!#REF!</f>
        <v>#REF!</v>
      </c>
    </row>
    <row r="36" spans="1:4" ht="12.75">
      <c r="A36" s="30">
        <v>4480</v>
      </c>
      <c r="B36" s="11" t="s">
        <v>136</v>
      </c>
      <c r="C36" s="12" t="e">
        <f>a!#REF!+a!#REF!+a!#REF!+a!#REF!+a!#REF!+a!#REF!</f>
        <v>#REF!</v>
      </c>
      <c r="D36" s="18" t="e">
        <f>a!#REF!+a!G36+a!G50+a!G117+a!G165+a!G348</f>
        <v>#REF!</v>
      </c>
    </row>
    <row r="37" spans="1:4" ht="12.75">
      <c r="A37" s="30">
        <v>4500</v>
      </c>
      <c r="B37" s="11" t="s">
        <v>168</v>
      </c>
      <c r="C37" s="12" t="e">
        <f>a!#REF!</f>
        <v>#REF!</v>
      </c>
      <c r="D37" s="18">
        <f>a!G37</f>
        <v>4700</v>
      </c>
    </row>
    <row r="38" spans="1:4" ht="12.75">
      <c r="A38" s="30">
        <v>4510</v>
      </c>
      <c r="B38" s="11" t="s">
        <v>169</v>
      </c>
      <c r="C38" s="12" t="e">
        <f>a!#REF!</f>
        <v>#REF!</v>
      </c>
      <c r="D38" s="18" t="e">
        <f>a!#REF!</f>
        <v>#REF!</v>
      </c>
    </row>
    <row r="39" spans="1:4" ht="12.75">
      <c r="A39" s="31" t="s">
        <v>94</v>
      </c>
      <c r="B39" s="11" t="s">
        <v>95</v>
      </c>
      <c r="C39" s="12" t="e">
        <f>a!#REF!+a!#REF!</f>
        <v>#REF!</v>
      </c>
      <c r="D39" s="18">
        <f>a!G38+a!G166</f>
        <v>1100</v>
      </c>
    </row>
    <row r="40" spans="1:4" ht="12.75">
      <c r="A40" s="31" t="s">
        <v>175</v>
      </c>
      <c r="B40" s="11" t="s">
        <v>110</v>
      </c>
      <c r="C40" s="12" t="e">
        <f>a!#REF!</f>
        <v>#REF!</v>
      </c>
      <c r="D40" s="18" t="e">
        <f>a!#REF!</f>
        <v>#REF!</v>
      </c>
    </row>
    <row r="41" spans="1:4" ht="12.75">
      <c r="A41" s="31" t="s">
        <v>173</v>
      </c>
      <c r="B41" s="11" t="s">
        <v>127</v>
      </c>
      <c r="C41" s="12" t="e">
        <f>a!#REF!</f>
        <v>#REF!</v>
      </c>
      <c r="D41" s="18" t="e">
        <f>a!#REF!</f>
        <v>#REF!</v>
      </c>
    </row>
    <row r="42" spans="1:4" ht="12.75">
      <c r="A42" s="31" t="s">
        <v>174</v>
      </c>
      <c r="B42" s="14" t="s">
        <v>128</v>
      </c>
      <c r="C42" s="12" t="e">
        <f>a!#REF!</f>
        <v>#REF!</v>
      </c>
      <c r="D42" s="18" t="e">
        <f>a!#REF!</f>
        <v>#REF!</v>
      </c>
    </row>
    <row r="43" spans="1:4" ht="12.75">
      <c r="A43" s="31" t="s">
        <v>170</v>
      </c>
      <c r="B43" s="11" t="s">
        <v>171</v>
      </c>
      <c r="C43" s="12" t="e">
        <f>a!#REF!</f>
        <v>#REF!</v>
      </c>
      <c r="D43" s="18" t="e">
        <f>a!#REF!</f>
        <v>#REF!</v>
      </c>
    </row>
    <row r="44" spans="1:4" ht="12.75">
      <c r="A44" s="31" t="s">
        <v>172</v>
      </c>
      <c r="B44" s="15" t="s">
        <v>146</v>
      </c>
      <c r="C44" s="12" t="e">
        <f>a!#REF!+a!#REF!</f>
        <v>#REF!</v>
      </c>
      <c r="D44" s="18" t="e">
        <f>a!#REF!+a!#REF!</f>
        <v>#REF!</v>
      </c>
    </row>
    <row r="45" spans="1:4" ht="12.75">
      <c r="A45" s="32">
        <v>6060</v>
      </c>
      <c r="B45" s="22" t="s">
        <v>167</v>
      </c>
      <c r="C45" s="23" t="e">
        <f>a!#REF!+a!#REF!+a!#REF!+a!#REF!+a!#REF!+a!#REF!+a!#REF!+a!#REF!+a!#REF!+a!#REF!+a!#REF!</f>
        <v>#REF!</v>
      </c>
      <c r="D45" s="33" t="e">
        <f>a!#REF!+a!G41+a!#REF!+a!G118+a!#REF!+a!#REF!+a!#REF!+a!G296+a!G318+a!G349+a!#REF!</f>
        <v>#REF!</v>
      </c>
    </row>
    <row r="46" spans="1:4" ht="12.75">
      <c r="A46" s="32">
        <v>6610</v>
      </c>
      <c r="B46" s="11" t="s">
        <v>164</v>
      </c>
      <c r="C46" s="23" t="e">
        <f>a!#REF!</f>
        <v>#REF!</v>
      </c>
      <c r="D46" s="33" t="e">
        <f>a!#REF!</f>
        <v>#REF!</v>
      </c>
    </row>
    <row r="47" spans="1:4" ht="24">
      <c r="A47" s="32">
        <v>8020</v>
      </c>
      <c r="B47" s="15" t="s">
        <v>131</v>
      </c>
      <c r="C47" s="23" t="e">
        <f>a!#REF!</f>
        <v>#REF!</v>
      </c>
      <c r="D47" s="33">
        <f>a!G175</f>
        <v>99820</v>
      </c>
    </row>
    <row r="48" spans="1:4" ht="12.75">
      <c r="A48" s="32">
        <v>8040</v>
      </c>
      <c r="B48" s="22" t="s">
        <v>140</v>
      </c>
      <c r="C48" s="23" t="e">
        <f>a!#REF!</f>
        <v>#REF!</v>
      </c>
      <c r="D48" s="33" t="e">
        <f>a!#REF!</f>
        <v>#REF!</v>
      </c>
    </row>
    <row r="49" spans="1:4" ht="13.5" thickBot="1">
      <c r="A49" s="34">
        <v>8070</v>
      </c>
      <c r="B49" s="35" t="s">
        <v>139</v>
      </c>
      <c r="C49" s="36" t="e">
        <f>a!#REF!</f>
        <v>#REF!</v>
      </c>
      <c r="D49" s="37">
        <f>a!G172</f>
        <v>242680</v>
      </c>
    </row>
    <row r="50" spans="1:4" ht="14.25" thickBot="1" thickTop="1">
      <c r="A50" s="269" t="s">
        <v>176</v>
      </c>
      <c r="B50" s="270"/>
      <c r="C50" s="38" t="e">
        <f>SUM(C3:C49)</f>
        <v>#REF!</v>
      </c>
      <c r="D50" s="39" t="e">
        <f>SUM(D3:D49)</f>
        <v>#REF!</v>
      </c>
    </row>
    <row r="51" ht="13.5" thickTop="1">
      <c r="A51" s="40" t="s">
        <v>181</v>
      </c>
    </row>
  </sheetData>
  <mergeCells count="7">
    <mergeCell ref="K1:L1"/>
    <mergeCell ref="M1:N1"/>
    <mergeCell ref="A1:D1"/>
    <mergeCell ref="A50:B50"/>
    <mergeCell ref="E1:F1"/>
    <mergeCell ref="G1:H1"/>
    <mergeCell ref="I1:J1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SEPOLNO KR.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 POWIATOWE</dc:creator>
  <cp:keywords/>
  <dc:description/>
  <cp:lastModifiedBy>Starostwo Powiatowe</cp:lastModifiedBy>
  <cp:lastPrinted>2005-11-17T11:24:36Z</cp:lastPrinted>
  <dcterms:created xsi:type="dcterms:W3CDTF">2002-10-15T06:09:48Z</dcterms:created>
  <dcterms:modified xsi:type="dcterms:W3CDTF">2005-11-17T11:24:38Z</dcterms:modified>
  <cp:category/>
  <cp:version/>
  <cp:contentType/>
  <cp:contentStatus/>
</cp:coreProperties>
</file>